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3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'Feuil1'!$A$1:$G$379</definedName>
  </definedNames>
  <calcPr fullCalcOnLoad="1"/>
</workbook>
</file>

<file path=xl/sharedStrings.xml><?xml version="1.0" encoding="utf-8"?>
<sst xmlns="http://schemas.openxmlformats.org/spreadsheetml/2006/main" count="6784" uniqueCount="1694">
  <si>
    <t>NOM</t>
  </si>
  <si>
    <t>LIEN HYPERTEXTE</t>
  </si>
  <si>
    <t>ANNEE</t>
  </si>
  <si>
    <t>EDITEUR</t>
  </si>
  <si>
    <t>GENRE</t>
  </si>
  <si>
    <t>FORMAT</t>
  </si>
  <si>
    <t>NOTE</t>
  </si>
  <si>
    <t xml:space="preserve"> 007 – A View to a kill</t>
  </si>
  <si>
    <t>DOMARK</t>
  </si>
  <si>
    <t>ACTION</t>
  </si>
  <si>
    <t>K7</t>
  </si>
  <si>
    <t>BOF</t>
  </si>
  <si>
    <t xml:space="preserve"> 007 – The Living Daylights</t>
  </si>
  <si>
    <t xml:space="preserve"> 007 – Agente Especial</t>
  </si>
  <si>
    <t>MONSER</t>
  </si>
  <si>
    <r>
      <t xml:space="preserve"> 10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Frame</t>
    </r>
  </si>
  <si>
    <t>US GOLD</t>
  </si>
  <si>
    <t>SPORT</t>
  </si>
  <si>
    <t>BIEN</t>
  </si>
  <si>
    <t xml:space="preserve"> 10 Yard Fight</t>
  </si>
  <si>
    <t>IREM</t>
  </si>
  <si>
    <t>ROM</t>
  </si>
  <si>
    <t xml:space="preserve"> 1942</t>
  </si>
  <si>
    <t>ASCII</t>
  </si>
  <si>
    <t>SHOOT THEM UP</t>
  </si>
  <si>
    <t xml:space="preserve"> 3D Bomberman</t>
  </si>
  <si>
    <t>HUDSON SOFT</t>
  </si>
  <si>
    <t>K7/ROM</t>
  </si>
  <si>
    <t xml:space="preserve"> 3D Golf Simulation - High Speed Edition </t>
  </si>
  <si>
    <t xml:space="preserve">T&amp;E SOFT </t>
  </si>
  <si>
    <t xml:space="preserve"> 3D Golf Simulation – Normal Edition</t>
  </si>
  <si>
    <t xml:space="preserve"> 3D Knockout</t>
  </si>
  <si>
    <t>ALLIGATA</t>
  </si>
  <si>
    <t xml:space="preserve"> 3D Tennis</t>
  </si>
  <si>
    <t xml:space="preserve"> 3D Water Driver</t>
  </si>
  <si>
    <t>APOLLO TECHNICA</t>
  </si>
  <si>
    <t xml:space="preserve"> 4X4 Off Road Racing</t>
  </si>
  <si>
    <t>EPYX</t>
  </si>
  <si>
    <t xml:space="preserve"> 7 Card Stud</t>
  </si>
  <si>
    <t>MARTECH GAMES</t>
  </si>
  <si>
    <t>CARTES</t>
  </si>
  <si>
    <t xml:space="preserve"> 737 Flight Simulator</t>
  </si>
  <si>
    <t>MIRRORSOFT</t>
  </si>
  <si>
    <t>SIMULATION</t>
  </si>
  <si>
    <t xml:space="preserve"> 747 400b Flight Simulator</t>
  </si>
  <si>
    <t>METHODIC SOLUTIONS</t>
  </si>
  <si>
    <t xml:space="preserve"> 98 Attackers  </t>
  </si>
  <si>
    <t>SATICO</t>
  </si>
  <si>
    <t>DISQUETTE</t>
  </si>
  <si>
    <t xml:space="preserve"> A Life M36 Planet</t>
  </si>
  <si>
    <t>PIXEL</t>
  </si>
  <si>
    <t>ACTION/PLATEFORME</t>
  </si>
  <si>
    <t>MEGAROM</t>
  </si>
  <si>
    <t xml:space="preserve"> A Maldiçao Da Vila Sinistra</t>
  </si>
  <si>
    <t>PISC</t>
  </si>
  <si>
    <t>AVENTURE</t>
  </si>
  <si>
    <t xml:space="preserve"> A Team, The</t>
  </si>
  <si>
    <t>ZAFIRO</t>
  </si>
  <si>
    <t>ARCADE</t>
  </si>
  <si>
    <t xml:space="preserve"> A.E</t>
  </si>
  <si>
    <t>TOSHIBA/EMI</t>
  </si>
  <si>
    <t xml:space="preserve"> A1 Spirit – The Way to Formula 1</t>
  </si>
  <si>
    <t>KONAMI</t>
  </si>
  <si>
    <t xml:space="preserve"> Aaargh !</t>
  </si>
  <si>
    <t>ANIMAGIC</t>
  </si>
  <si>
    <t xml:space="preserve"> Aardrijkskunde</t>
  </si>
  <si>
    <t>AACKOSOFT</t>
  </si>
  <si>
    <t>EDUCATIF</t>
  </si>
  <si>
    <t xml:space="preserve"> Abadia del Crimen, La</t>
  </si>
  <si>
    <t>OPERA SOFT</t>
  </si>
  <si>
    <t xml:space="preserve"> Abracadabra</t>
  </si>
  <si>
    <t>ODISEA SOFTWARE</t>
  </si>
  <si>
    <t xml:space="preserve"> Abu Simbel Profanation</t>
  </si>
  <si>
    <t>DINAMIC</t>
  </si>
  <si>
    <t xml:space="preserve"> Ace Of Aces</t>
  </si>
  <si>
    <t xml:space="preserve"> Acrobatas </t>
  </si>
  <si>
    <t>NEMESIS</t>
  </si>
  <si>
    <t xml:space="preserve"> Activision Gamecase</t>
  </si>
  <si>
    <t>JAM</t>
  </si>
  <si>
    <t>COMPILATION</t>
  </si>
  <si>
    <t xml:space="preserve"> Actman</t>
  </si>
  <si>
    <t>MASS TAEL</t>
  </si>
  <si>
    <t xml:space="preserve"> Addictaball</t>
  </si>
  <si>
    <t>CASSE BRIQUE</t>
  </si>
  <si>
    <t xml:space="preserve"> Adel</t>
  </si>
  <si>
    <t>MIND GAMES ESPANA</t>
  </si>
  <si>
    <t xml:space="preserve"> Adonis</t>
  </si>
  <si>
    <t>MSX MAGAZINE</t>
  </si>
  <si>
    <t xml:space="preserve"> Adven Chuta !</t>
  </si>
  <si>
    <t>MIA</t>
  </si>
  <si>
    <t xml:space="preserve"> African Trail Simulator</t>
  </si>
  <si>
    <t>POSITIVE</t>
  </si>
  <si>
    <t xml:space="preserve"> After Burner</t>
  </si>
  <si>
    <t>ACTIVISION/SEGA</t>
  </si>
  <si>
    <t xml:space="preserve"> After the War</t>
  </si>
  <si>
    <t xml:space="preserve"> Afteroids</t>
  </si>
  <si>
    <t>ZIGURAT</t>
  </si>
  <si>
    <t xml:space="preserve"> Aguas Bravas</t>
  </si>
  <si>
    <t>LOAD N RUN</t>
  </si>
  <si>
    <t xml:space="preserve"> Aguia do Fogo</t>
  </si>
  <si>
    <t>FILHO &amp; NETTO</t>
  </si>
  <si>
    <t xml:space="preserve"> Air Fox  </t>
  </si>
  <si>
    <t>?</t>
  </si>
  <si>
    <t>GAME BUSTER</t>
  </si>
  <si>
    <t xml:space="preserve"> Air Traffic Control  </t>
  </si>
  <si>
    <t>ROLAND ANDRES</t>
  </si>
  <si>
    <t xml:space="preserve"> Albatross</t>
  </si>
  <si>
    <t>TELENET</t>
  </si>
  <si>
    <t xml:space="preserve"> Alcazar – The Forgotten Fortress</t>
  </si>
  <si>
    <t>ACTIVISION</t>
  </si>
  <si>
    <t>ACTION/AVENTURE</t>
  </si>
  <si>
    <t xml:space="preserve"> Alcyon</t>
  </si>
  <si>
    <t xml:space="preserve"> Ale Hop !</t>
  </si>
  <si>
    <t>TOPO SOFT</t>
  </si>
  <si>
    <t xml:space="preserve"> Alfamat</t>
  </si>
  <si>
    <t>ANAYA MULTIMEDIA</t>
  </si>
  <si>
    <t xml:space="preserve"> Alibaba and 40 Thieves</t>
  </si>
  <si>
    <t>ICM</t>
  </si>
  <si>
    <t xml:space="preserve"> Alien 8</t>
  </si>
  <si>
    <t>ULTIMATE PLAY THE GAME</t>
  </si>
  <si>
    <t xml:space="preserve"> Alien Syndrome</t>
  </si>
  <si>
    <t>XORTRAPA SOFT</t>
  </si>
  <si>
    <t xml:space="preserve"> Aliens</t>
  </si>
  <si>
    <t>MR. MICRO</t>
  </si>
  <si>
    <t xml:space="preserve"> Aliens, Alien 2</t>
  </si>
  <si>
    <t>SQUARE</t>
  </si>
  <si>
    <t xml:space="preserve"> Alpha Blaster</t>
  </si>
  <si>
    <t xml:space="preserve"> Alpha Roid</t>
  </si>
  <si>
    <t>PONY CANYON</t>
  </si>
  <si>
    <t xml:space="preserve"> Alpha Squadron</t>
  </si>
  <si>
    <t>AG CORP</t>
  </si>
  <si>
    <t xml:space="preserve"> Alpine Ski</t>
  </si>
  <si>
    <t>ROM/K7/DISQUETTE</t>
  </si>
  <si>
    <t xml:space="preserve"> Altered Beast</t>
  </si>
  <si>
    <r>
      <t xml:space="preserve"> </t>
    </r>
    <r>
      <rPr>
        <sz val="10"/>
        <color indexed="8"/>
        <rFont val="Arial"/>
        <family val="2"/>
      </rPr>
      <t>Amaurote</t>
    </r>
  </si>
  <si>
    <t>MASTERTRONIC</t>
  </si>
  <si>
    <t xml:space="preserve"> Amazonia</t>
  </si>
  <si>
    <t>RENATO DEGIOVANI</t>
  </si>
  <si>
    <t xml:space="preserve"> American Truck</t>
  </si>
  <si>
    <t xml:space="preserve"> Amida</t>
  </si>
  <si>
    <t xml:space="preserve"> Amo Del Mundo</t>
  </si>
  <si>
    <t xml:space="preserve"> Amoto's Puf</t>
  </si>
  <si>
    <t>SYSTEM 4</t>
  </si>
  <si>
    <t xml:space="preserve"> Anaza Kaleidoscope Special</t>
  </si>
  <si>
    <t>HOT-B</t>
  </si>
  <si>
    <t xml:space="preserve"> Angel Nieto Pole 500</t>
  </si>
  <si>
    <t xml:space="preserve"> Angelo</t>
  </si>
  <si>
    <t xml:space="preserve"> Angleball</t>
  </si>
  <si>
    <t xml:space="preserve"> Animal Basket Mo-Karimakka.   Bochibochidenna Sport</t>
  </si>
  <si>
    <t>LEBEN PRO</t>
  </si>
  <si>
    <t xml:space="preserve"> Animal Land Murder Case</t>
  </si>
  <si>
    <t>ENIX</t>
  </si>
  <si>
    <t xml:space="preserve"> Antartic Adventure</t>
  </si>
  <si>
    <t xml:space="preserve"> Antares</t>
  </si>
  <si>
    <t>JULIET SOFTWARE</t>
  </si>
  <si>
    <t xml:space="preserve"> Anty</t>
  </si>
  <si>
    <t>BOTHTEC</t>
  </si>
  <si>
    <t xml:space="preserve"> Apeman Strikes Again</t>
  </si>
  <si>
    <t>THE BYTEBUSTERS</t>
  </si>
  <si>
    <t xml:space="preserve"> Aquapolis SOS</t>
  </si>
  <si>
    <t>GENERAL</t>
  </si>
  <si>
    <t xml:space="preserve"> Aquattack</t>
  </si>
  <si>
    <t xml:space="preserve"> Aramo</t>
  </si>
  <si>
    <t>XAIN</t>
  </si>
  <si>
    <t xml:space="preserve"> Arctic Fox</t>
  </si>
  <si>
    <t>ELECTRONIC ARTS</t>
  </si>
  <si>
    <t xml:space="preserve"> Aritmo</t>
  </si>
  <si>
    <t>DIMENSION NEW</t>
  </si>
  <si>
    <t xml:space="preserve"> Arkanoid</t>
  </si>
  <si>
    <t>TAITO</t>
  </si>
  <si>
    <t xml:space="preserve"> Arkanoid Revenge </t>
  </si>
  <si>
    <t xml:space="preserve"> Arkos</t>
  </si>
  <si>
    <t xml:space="preserve"> Arkos II </t>
  </si>
  <si>
    <t xml:space="preserve"> Army Moves</t>
  </si>
  <si>
    <t xml:space="preserve"> Arquimedes XXI</t>
  </si>
  <si>
    <t xml:space="preserve"> Aspar GP Master</t>
  </si>
  <si>
    <t xml:space="preserve"> Astro Blaster</t>
  </si>
  <si>
    <t>EUROSOFT</t>
  </si>
  <si>
    <t>K7/DISQUETTE</t>
  </si>
  <si>
    <t xml:space="preserve"> Astro Marine Corps</t>
  </si>
  <si>
    <t xml:space="preserve"> Astro Plumber</t>
  </si>
  <si>
    <t>BLUE RIBBON SOFTWARE</t>
  </si>
  <si>
    <t xml:space="preserve"> Astro Rocks</t>
  </si>
  <si>
    <t>KUMA COMPUTERS</t>
  </si>
  <si>
    <t xml:space="preserve"> Astrowulards</t>
  </si>
  <si>
    <t xml:space="preserve"> Athletic Ball – Ghost Flipper</t>
  </si>
  <si>
    <t xml:space="preserve"> Athletic Land</t>
  </si>
  <si>
    <t xml:space="preserve"> Atom Madriguera Peligrosa </t>
  </si>
  <si>
    <t xml:space="preserve"> Attack Four - Volleyball</t>
  </si>
  <si>
    <t>PAX SOFTONICA</t>
  </si>
  <si>
    <t xml:space="preserve"> Attack Mosquiton </t>
  </si>
  <si>
    <t>S. OGAWA</t>
  </si>
  <si>
    <t xml:space="preserve"> Attack of the Killer Tomatoes</t>
  </si>
  <si>
    <t>GLOBAL SOFTWARE</t>
  </si>
  <si>
    <t xml:space="preserve"> Attacked</t>
  </si>
  <si>
    <t>TYNESOFT</t>
  </si>
  <si>
    <t xml:space="preserve"> Attilio Tubicini</t>
  </si>
  <si>
    <t xml:space="preserve"> Auf Wiedersehen Monty</t>
  </si>
  <si>
    <t>GREMLIN GRAPHICS</t>
  </si>
  <si>
    <t xml:space="preserve"> Avenger</t>
  </si>
  <si>
    <t xml:space="preserve"> Aventura Espacial</t>
  </si>
  <si>
    <t>AVENTURAS AD</t>
  </si>
  <si>
    <t xml:space="preserve"> Aventura Original</t>
  </si>
  <si>
    <r>
      <t xml:space="preserve"> </t>
    </r>
    <r>
      <rPr>
        <sz val="10"/>
        <color indexed="8"/>
        <rFont val="Arial"/>
        <family val="2"/>
      </rPr>
      <t>Averno</t>
    </r>
  </si>
  <si>
    <t>NEPTUNE SOFT</t>
  </si>
  <si>
    <t xml:space="preserve"> Backgammon</t>
  </si>
  <si>
    <t>SONY</t>
  </si>
  <si>
    <t>SOCIETE</t>
  </si>
  <si>
    <t>ELECTRIC SOFTWARE</t>
  </si>
  <si>
    <t>K7/SOFTCARD</t>
  </si>
  <si>
    <t xml:space="preserve"> Back to the Future</t>
  </si>
  <si>
    <t xml:space="preserve"> Bag Man</t>
  </si>
  <si>
    <t>AG SOFTWARE</t>
  </si>
  <si>
    <t xml:space="preserve"> Bakerman</t>
  </si>
  <si>
    <t xml:space="preserve"> Balance</t>
  </si>
  <si>
    <t>HAL LABORATORY</t>
  </si>
  <si>
    <t xml:space="preserve"> Ball 5</t>
  </si>
  <si>
    <t>NYAN</t>
  </si>
  <si>
    <t xml:space="preserve"> Ballblazer</t>
  </si>
  <si>
    <t xml:space="preserve"> Balloon Punch </t>
  </si>
  <si>
    <t xml:space="preserve"> Baloon City</t>
  </si>
  <si>
    <t xml:space="preserve"> Ballyhoo</t>
  </si>
  <si>
    <t>INFOCOM</t>
  </si>
  <si>
    <t xml:space="preserve"> Banana</t>
  </si>
  <si>
    <t xml:space="preserve"> Banana Worm </t>
  </si>
  <si>
    <t>IRGENDWEM</t>
  </si>
  <si>
    <t xml:space="preserve"> Bank Panic</t>
  </si>
  <si>
    <t>SEGA</t>
  </si>
  <si>
    <t xml:space="preserve"> Banzai </t>
  </si>
  <si>
    <t xml:space="preserve"> Banzai 2 </t>
  </si>
  <si>
    <t xml:space="preserve"> Barbarian</t>
  </si>
  <si>
    <t xml:space="preserve"> Barbarian 2</t>
  </si>
  <si>
    <t>PALACE SOFTWARE</t>
  </si>
  <si>
    <t>ACTION/FIGHT</t>
  </si>
  <si>
    <t xml:space="preserve"> Barnstormer</t>
  </si>
  <si>
    <t xml:space="preserve"> Barna Basket</t>
  </si>
  <si>
    <t>BARNAJOC</t>
  </si>
  <si>
    <t xml:space="preserve"> Baseball</t>
  </si>
  <si>
    <t xml:space="preserve"> Baseball Casio</t>
  </si>
  <si>
    <t>CASIO</t>
  </si>
  <si>
    <t xml:space="preserve"> Baseball Craze. Honk Ball</t>
  </si>
  <si>
    <t>ROM/BEE CARD</t>
  </si>
  <si>
    <t xml:space="preserve"> Batman</t>
  </si>
  <si>
    <t>OCEAN</t>
  </si>
  <si>
    <t xml:space="preserve"> Batman the Movie</t>
  </si>
  <si>
    <t xml:space="preserve"> Batten Tanuki no Daibouken</t>
  </si>
  <si>
    <t>TECNO SOFT</t>
  </si>
  <si>
    <t xml:space="preserve"> Battle Chopper</t>
  </si>
  <si>
    <t xml:space="preserve"> Battle Cross</t>
  </si>
  <si>
    <t xml:space="preserve"> Battle for Midway</t>
  </si>
  <si>
    <t>PSS</t>
  </si>
  <si>
    <t>WARGAME</t>
  </si>
  <si>
    <t xml:space="preserve"> Battle Ship – Clapton II</t>
  </si>
  <si>
    <t xml:space="preserve"> BC's Quest for Tires </t>
  </si>
  <si>
    <t>TOSHIBA/SYDNEY/INTERPHASE</t>
  </si>
  <si>
    <t xml:space="preserve"> BC's Quest for Tires II – Grog's Revenge</t>
  </si>
  <si>
    <t>COMPTIQ/SYDNEY</t>
  </si>
  <si>
    <t xml:space="preserve"> Beach Head</t>
  </si>
  <si>
    <t>ORPHEUS</t>
  </si>
  <si>
    <t xml:space="preserve"> Beach Story Of Tako</t>
  </si>
  <si>
    <t xml:space="preserve"> Beamrider</t>
  </si>
  <si>
    <t xml:space="preserve"> Bear George </t>
  </si>
  <si>
    <t xml:space="preserve"> Bee &amp; Flower</t>
  </si>
  <si>
    <t>THINK SOFT</t>
  </si>
  <si>
    <t xml:space="preserve"> Beepertron</t>
  </si>
  <si>
    <t>DIONISO</t>
  </si>
  <si>
    <t>MEMOIRE</t>
  </si>
  <si>
    <t xml:space="preserve"> Bernard Goes to Mars</t>
  </si>
  <si>
    <t>INDESCOMP</t>
  </si>
  <si>
    <t xml:space="preserve"> Bestial Warrior</t>
  </si>
  <si>
    <t xml:space="preserve"> Be Tiled !</t>
  </si>
  <si>
    <t>COMPUTER EMUZONE STUDIO</t>
  </si>
  <si>
    <t>PUZZLE</t>
  </si>
  <si>
    <t xml:space="preserve"> Beez</t>
  </si>
  <si>
    <t>DARKSTONE</t>
  </si>
  <si>
    <t>ARCADE/ACTION</t>
  </si>
  <si>
    <t xml:space="preserve"> Bifamu – Galaxy Drift Motorcycle Femme</t>
  </si>
  <si>
    <t>BANDAI</t>
  </si>
  <si>
    <t xml:space="preserve"> Bilot  </t>
  </si>
  <si>
    <t>MSX SOFT</t>
  </si>
  <si>
    <t>LOTO</t>
  </si>
  <si>
    <t xml:space="preserve"> Binary Land</t>
  </si>
  <si>
    <t>HUDSON SOFT/KUMA</t>
  </si>
  <si>
    <t xml:space="preserve"> Biologia Principios Inmediatos </t>
  </si>
  <si>
    <t>MICROGESA</t>
  </si>
  <si>
    <t xml:space="preserve"> Bit Byter</t>
  </si>
  <si>
    <t>SPECTRAVIDEO</t>
  </si>
  <si>
    <t xml:space="preserve"> Black Bass, The</t>
  </si>
  <si>
    <t xml:space="preserve"> Black Beard</t>
  </si>
  <si>
    <t xml:space="preserve"> Black Jack</t>
  </si>
  <si>
    <t xml:space="preserve"> Black Onyx, The</t>
  </si>
  <si>
    <t>RPG</t>
  </si>
  <si>
    <t xml:space="preserve"> Black Onyx II – Search for the Fire Crystal</t>
  </si>
  <si>
    <t xml:space="preserve"> Blagger</t>
  </si>
  <si>
    <t xml:space="preserve"> Blasteroids</t>
  </si>
  <si>
    <t>IMAGE WORKS</t>
  </si>
  <si>
    <t xml:space="preserve"> Block Hole</t>
  </si>
  <si>
    <t>ZEMINA</t>
  </si>
  <si>
    <t xml:space="preserve"> Blockade Runner</t>
  </si>
  <si>
    <r>
      <t xml:space="preserve"> Blocker</t>
    </r>
    <r>
      <rPr>
        <u val="single"/>
        <sz val="10"/>
        <color indexed="12"/>
        <rFont val="Arial"/>
        <family val="2"/>
      </rPr>
      <t xml:space="preserve"> </t>
    </r>
  </si>
  <si>
    <t>GRUPO DE TRABAJO SOFTWARE</t>
  </si>
  <si>
    <t xml:space="preserve"> Bloody</t>
  </si>
  <si>
    <t>GENESIS SOFT</t>
  </si>
  <si>
    <t xml:space="preserve"> Blow Up</t>
  </si>
  <si>
    <t xml:space="preserve"> Blue &amp; Pink</t>
  </si>
  <si>
    <t xml:space="preserve"> Blusy Shop </t>
  </si>
  <si>
    <t>MSX SNAKE</t>
  </si>
  <si>
    <t>REFLEXION</t>
  </si>
  <si>
    <t xml:space="preserve"> Bmx Rekencross</t>
  </si>
  <si>
    <t>VIFI/PHILIPS</t>
  </si>
  <si>
    <t xml:space="preserve"> BMX Simulator</t>
  </si>
  <si>
    <t>CODEMASTERS</t>
  </si>
  <si>
    <t xml:space="preserve"> Boardello</t>
  </si>
  <si>
    <t>BUBBLE BUS</t>
  </si>
  <si>
    <t>JEU DE SOCIETE</t>
  </si>
  <si>
    <t xml:space="preserve"> Bob 007</t>
  </si>
  <si>
    <t xml:space="preserve"> Boggy'84</t>
  </si>
  <si>
    <t>COLPAX</t>
  </si>
  <si>
    <r>
      <t xml:space="preserve"> Boing Boing</t>
    </r>
    <r>
      <rPr>
        <u val="single"/>
        <sz val="10"/>
        <color indexed="12"/>
        <rFont val="Arial"/>
        <family val="2"/>
      </rPr>
      <t xml:space="preserve"> </t>
    </r>
  </si>
  <si>
    <t>IDEALOGIC</t>
  </si>
  <si>
    <t xml:space="preserve"> Bokosuka Wars</t>
  </si>
  <si>
    <t>ACTION/STRATEGIE</t>
  </si>
  <si>
    <t xml:space="preserve"> Bologna &amp; Milano</t>
  </si>
  <si>
    <t>STRATEGIE</t>
  </si>
  <si>
    <t xml:space="preserve"> Bomb Man</t>
  </si>
  <si>
    <t>AGSOFTWARE</t>
  </si>
  <si>
    <t xml:space="preserve"> Bomber King</t>
  </si>
  <si>
    <t xml:space="preserve"> Bomber Man</t>
  </si>
  <si>
    <t xml:space="preserve"> Bomber Man Special</t>
  </si>
  <si>
    <t>BEECARD</t>
  </si>
  <si>
    <t xml:space="preserve"> Bomulus &amp; The Lost Crown</t>
  </si>
  <si>
    <t>TEKNOPISTE</t>
  </si>
  <si>
    <t xml:space="preserve"> Booga-Boo</t>
  </si>
  <si>
    <t>QUICKSILVA</t>
  </si>
  <si>
    <t xml:space="preserve"> Boogie Woogi Jungle</t>
  </si>
  <si>
    <t>AMPLE SOFTWARE</t>
  </si>
  <si>
    <t xml:space="preserve"> Boom</t>
  </si>
  <si>
    <t xml:space="preserve"> Boomerang</t>
  </si>
  <si>
    <t xml:space="preserve"> Booty</t>
  </si>
  <si>
    <t xml:space="preserve"> Bop !</t>
  </si>
  <si>
    <t>BUG BYTE SOFTWARE</t>
  </si>
  <si>
    <t xml:space="preserve"> Borfesu and Five Evil Spirits</t>
  </si>
  <si>
    <t>XTALSOFT</t>
  </si>
  <si>
    <r>
      <t xml:space="preserve"> </t>
    </r>
    <r>
      <rPr>
        <sz val="10"/>
        <color indexed="8"/>
        <rFont val="Arial"/>
        <family val="2"/>
      </rPr>
      <t>Bosconian</t>
    </r>
  </si>
  <si>
    <t>NAMCO</t>
  </si>
  <si>
    <t xml:space="preserve"> Bouken Roman - Dota</t>
  </si>
  <si>
    <t>SYSTEM SOFT</t>
  </si>
  <si>
    <t xml:space="preserve"> Boulder Dash (Champion Boulder Dash)</t>
  </si>
  <si>
    <t>FIRST STAR SOFTWARE</t>
  </si>
  <si>
    <t xml:space="preserve"> Boulder Dash II Rockford's Riot</t>
  </si>
  <si>
    <t xml:space="preserve"> Bounce</t>
  </si>
  <si>
    <t xml:space="preserve"> Bounder</t>
  </si>
  <si>
    <t xml:space="preserve"> Bousou Tokkyuu SOS, Stop the Express</t>
  </si>
  <si>
    <t xml:space="preserve"> Boynight. Haunted House</t>
  </si>
  <si>
    <t xml:space="preserve"> Brain, The</t>
  </si>
  <si>
    <t xml:space="preserve"> Break Free </t>
  </si>
  <si>
    <t>ROLF FUKKENS</t>
  </si>
  <si>
    <t xml:space="preserve"> Break In</t>
  </si>
  <si>
    <t>THE BYTEBUSTERS/JALECO</t>
  </si>
  <si>
    <t xml:space="preserve"> Break Man </t>
  </si>
  <si>
    <t>JOJOSOFT</t>
  </si>
  <si>
    <t>X</t>
  </si>
  <si>
    <t xml:space="preserve"> Break Out</t>
  </si>
  <si>
    <t xml:space="preserve"> Brian Jacks Superstar Challenge</t>
  </si>
  <si>
    <t xml:space="preserve"> Brick Breaker</t>
  </si>
  <si>
    <t xml:space="preserve"> Bridge </t>
  </si>
  <si>
    <t>NICE IDEAS</t>
  </si>
  <si>
    <t xml:space="preserve"> Brisca</t>
  </si>
  <si>
    <t>STARS</t>
  </si>
  <si>
    <t xml:space="preserve"> Bronx</t>
  </si>
  <si>
    <t xml:space="preserve"> Brother Adventure. Mario Bros</t>
  </si>
  <si>
    <t xml:space="preserve"> Bruce Lee</t>
  </si>
  <si>
    <t>COMPTIQ</t>
  </si>
  <si>
    <t xml:space="preserve"> Bubbler</t>
  </si>
  <si>
    <t xml:space="preserve"> Buccaneer Stripgirl </t>
  </si>
  <si>
    <t>ADULTES</t>
  </si>
  <si>
    <t xml:space="preserve"> Buck Rogers</t>
  </si>
  <si>
    <t xml:space="preserve"> Budokan</t>
  </si>
  <si>
    <t>DRO SOFT</t>
  </si>
  <si>
    <t xml:space="preserve"> Bugbuster </t>
  </si>
  <si>
    <t>RENATE W.</t>
  </si>
  <si>
    <t xml:space="preserve"> Buggy Ranger</t>
  </si>
  <si>
    <t xml:space="preserve"> Bumpy</t>
  </si>
  <si>
    <t>LORICIELS</t>
  </si>
  <si>
    <r>
      <t xml:space="preserve"> </t>
    </r>
    <r>
      <rPr>
        <u val="single"/>
        <sz val="10"/>
        <color indexed="8"/>
        <rFont val="Arial"/>
        <family val="2"/>
      </rPr>
      <t>Buran</t>
    </r>
  </si>
  <si>
    <t>OMK SOFTWARE</t>
  </si>
  <si>
    <t xml:space="preserve"> Burger Time</t>
  </si>
  <si>
    <t>RADIO WAVE</t>
  </si>
  <si>
    <t xml:space="preserve"> Bull and Mighty's Slim Chance. Inspecteur Z</t>
  </si>
  <si>
    <t xml:space="preserve"> Buscando Las Palabras </t>
  </si>
  <si>
    <t>EDITORIAL COMETA</t>
  </si>
  <si>
    <t xml:space="preserve"> Buster Block</t>
  </si>
  <si>
    <t xml:space="preserve"> Batumaru Pants. Pig Mock Batumaru</t>
  </si>
  <si>
    <t xml:space="preserve"> Buzz off</t>
  </si>
  <si>
    <t xml:space="preserve"> Bytebusters</t>
  </si>
  <si>
    <t xml:space="preserve"> C SO!</t>
  </si>
  <si>
    <t xml:space="preserve"> Cabbage Patch Kids</t>
  </si>
  <si>
    <t xml:space="preserve"> El Caldero Magico</t>
  </si>
  <si>
    <t xml:space="preserve"> California Games</t>
  </si>
  <si>
    <t xml:space="preserve"> Camelot Warriors</t>
  </si>
  <si>
    <t xml:space="preserve"> Cannon Ball</t>
  </si>
  <si>
    <t xml:space="preserve"> Cannon Fighter</t>
  </si>
  <si>
    <t>POLICY</t>
  </si>
  <si>
    <t xml:space="preserve"> Can of Worms</t>
  </si>
  <si>
    <t>LIVEWIRE SOFTWARE</t>
  </si>
  <si>
    <t xml:space="preserve"> Caos Begins</t>
  </si>
  <si>
    <t>HIKARU GAMES</t>
  </si>
  <si>
    <t xml:space="preserve"> Capitales De Espanya</t>
  </si>
  <si>
    <t>QLS</t>
  </si>
  <si>
    <t xml:space="preserve"> Capitan Sevilla</t>
  </si>
  <si>
    <t xml:space="preserve"> Capitan Trueno</t>
  </si>
  <si>
    <t xml:space="preserve"> Caple </t>
  </si>
  <si>
    <t xml:space="preserve"> Captain Chef</t>
  </si>
  <si>
    <t xml:space="preserve"> Captain Cosmo</t>
  </si>
  <si>
    <t>ASCII/NEXA</t>
  </si>
  <si>
    <t xml:space="preserve"> Capture Os Mongas</t>
  </si>
  <si>
    <t>EDITORA MC GRAW</t>
  </si>
  <si>
    <t xml:space="preserve"> Car Fighter</t>
  </si>
  <si>
    <t xml:space="preserve"> Car Jamboree</t>
  </si>
  <si>
    <t xml:space="preserve"> Car Race</t>
  </si>
  <si>
    <t xml:space="preserve"> Carlos Sainz-Campeonato Del Mundo</t>
  </si>
  <si>
    <t xml:space="preserve"> Carry </t>
  </si>
  <si>
    <t>TM</t>
  </si>
  <si>
    <t xml:space="preserve"> Casa Maldita, La </t>
  </si>
  <si>
    <t xml:space="preserve"> Casanova</t>
  </si>
  <si>
    <t xml:space="preserve"> Casio Gamecase </t>
  </si>
  <si>
    <t xml:space="preserve"> Casio World Open</t>
  </si>
  <si>
    <t xml:space="preserve"> Castelo Negro </t>
  </si>
  <si>
    <t xml:space="preserve"> Castle Combat</t>
  </si>
  <si>
    <t xml:space="preserve"> Castle, The</t>
  </si>
  <si>
    <t xml:space="preserve"> Castle Excellent</t>
  </si>
  <si>
    <t xml:space="preserve"> Cat &amp; Wolf </t>
  </si>
  <si>
    <t>DRAK SOFT</t>
  </si>
  <si>
    <t xml:space="preserve"> Catch That Girl </t>
  </si>
  <si>
    <t>WB SOFT</t>
  </si>
  <si>
    <t xml:space="preserve"> Catch The Mouse Puzzle </t>
  </si>
  <si>
    <t xml:space="preserve"> Cavern of Death</t>
  </si>
  <si>
    <t xml:space="preserve"> Caverns of Titan</t>
  </si>
  <si>
    <t>JOSE LUIS TUR</t>
  </si>
  <si>
    <t xml:space="preserve"> Caza  </t>
  </si>
  <si>
    <t xml:space="preserve"> Cerebral </t>
  </si>
  <si>
    <t xml:space="preserve"> Cetus</t>
  </si>
  <si>
    <t xml:space="preserve"> Chack'n Pop</t>
  </si>
  <si>
    <t>ROM/SOFTCARD</t>
  </si>
  <si>
    <t xml:space="preserve"> Challenge Derby</t>
  </si>
  <si>
    <t xml:space="preserve"> Champion Boxing</t>
  </si>
  <si>
    <t xml:space="preserve"> Champion Ice Hockey </t>
  </si>
  <si>
    <t xml:space="preserve"> Champion Kendo</t>
  </si>
  <si>
    <t xml:space="preserve"> Champion Pro Wrestling</t>
  </si>
  <si>
    <t xml:space="preserve"> Champion Soccer </t>
  </si>
  <si>
    <t xml:space="preserve"> Champions Grand National</t>
  </si>
  <si>
    <t xml:space="preserve"> Championship Lode Runner</t>
  </si>
  <si>
    <t>BRODERBUND/SONY</t>
  </si>
  <si>
    <t xml:space="preserve"> Channel Defensa Del Estrecho</t>
  </si>
  <si>
    <t xml:space="preserve"> Chase H.Q. </t>
  </si>
  <si>
    <t xml:space="preserve"> Cheating Wives </t>
  </si>
  <si>
    <t>CRAPPY SOFT</t>
  </si>
  <si>
    <t xml:space="preserve"> Checkers in Tantan Tanuki  </t>
  </si>
  <si>
    <t xml:space="preserve"> Checkmate </t>
  </si>
  <si>
    <t>TOSHIBA</t>
  </si>
  <si>
    <t>ECHECS</t>
  </si>
  <si>
    <t xml:space="preserve"> Chemie  </t>
  </si>
  <si>
    <t>GEMAAKT</t>
  </si>
  <si>
    <t xml:space="preserve"> Chess </t>
  </si>
  <si>
    <t>B.U.G/SONY</t>
  </si>
  <si>
    <t xml:space="preserve"> Chess Game, The </t>
  </si>
  <si>
    <t>EAGLESOFT</t>
  </si>
  <si>
    <t xml:space="preserve"> Chess Master </t>
  </si>
  <si>
    <t>PHILIPS</t>
  </si>
  <si>
    <t xml:space="preserve"> Chess Player </t>
  </si>
  <si>
    <t xml:space="preserve"> Chessmaster 2000, The  </t>
  </si>
  <si>
    <t xml:space="preserve"> Chicagos 30 </t>
  </si>
  <si>
    <t xml:space="preserve"> Chick Fighter </t>
  </si>
  <si>
    <t xml:space="preserve"> Chicken Chase </t>
  </si>
  <si>
    <t xml:space="preserve"> Chiller </t>
  </si>
  <si>
    <t xml:space="preserve"> Chima Chima</t>
  </si>
  <si>
    <t xml:space="preserve"> Chocobo Racing </t>
  </si>
  <si>
    <t>HL SOFT</t>
  </si>
  <si>
    <t xml:space="preserve"> Choplifter </t>
  </si>
  <si>
    <t>BRODERBUND</t>
  </si>
  <si>
    <t xml:space="preserve"> Chopper 1 </t>
  </si>
  <si>
    <t>BYTEBUSTERS</t>
  </si>
  <si>
    <t xml:space="preserve"> Choro Q </t>
  </si>
  <si>
    <t>ROM/K7/SOFTCARD</t>
  </si>
  <si>
    <t xml:space="preserve"> Choy Lee Fut Kung-Fu Warrior</t>
  </si>
  <si>
    <t xml:space="preserve"> Chubby Gristle </t>
  </si>
  <si>
    <t>GRANDSLAM</t>
  </si>
  <si>
    <t xml:space="preserve"> Chuck Yeager's Advanced Flight Trainer </t>
  </si>
  <si>
    <t xml:space="preserve"> Chuckie Egg </t>
  </si>
  <si>
    <t>A&amp;F SOFTWARE</t>
  </si>
  <si>
    <t xml:space="preserve"> Cid, El </t>
  </si>
  <si>
    <t xml:space="preserve"> Ciencias Naturaleza 8 Egb </t>
  </si>
  <si>
    <t xml:space="preserve"> Circus Charlie </t>
  </si>
  <si>
    <t xml:space="preserve"> City </t>
  </si>
  <si>
    <t>CAL SOFT</t>
  </si>
  <si>
    <t xml:space="preserve"> City Connection </t>
  </si>
  <si>
    <t>JALECO</t>
  </si>
  <si>
    <t xml:space="preserve"> Ci-U-Than Trilogy I - La Diosa de Cozumel </t>
  </si>
  <si>
    <t xml:space="preserve"> Ci-U-Than Trilogy II - Los Templos Sagrados </t>
  </si>
  <si>
    <t xml:space="preserve"> Ci-U-Than Trilogy III - Chichen Itza </t>
  </si>
  <si>
    <t xml:space="preserve"> Classic Adventure </t>
  </si>
  <si>
    <t>MELBOURNE HOUSE</t>
  </si>
  <si>
    <t xml:space="preserve"> Classic Minesweeper </t>
  </si>
  <si>
    <t>KAROSHI</t>
  </si>
  <si>
    <t xml:space="preserve"> Classic Pong v0.15 </t>
  </si>
  <si>
    <t xml:space="preserve"> Cluedo </t>
  </si>
  <si>
    <t>LEISURE GENIUS</t>
  </si>
  <si>
    <t xml:space="preserve"> Coaster Race </t>
  </si>
  <si>
    <t xml:space="preserve"> Cobra's Arc </t>
  </si>
  <si>
    <t xml:space="preserve"> Coco Castle </t>
  </si>
  <si>
    <t xml:space="preserve"> Coconuts </t>
  </si>
  <si>
    <t xml:space="preserve"> Codigo De Circulacion  </t>
  </si>
  <si>
    <t>DB SOFTWARE</t>
  </si>
  <si>
    <t xml:space="preserve"> Coliseum </t>
  </si>
  <si>
    <t xml:space="preserve"> Colony </t>
  </si>
  <si>
    <t xml:space="preserve"> Color Ball </t>
  </si>
  <si>
    <t xml:space="preserve"> Color Midway </t>
  </si>
  <si>
    <t>MAGIC SOFT</t>
  </si>
  <si>
    <t xml:space="preserve"> Color Tochika. Pillbox </t>
  </si>
  <si>
    <t xml:space="preserve"> Colossus 4 Chess </t>
  </si>
  <si>
    <t>CDS MICROS SYSTEMS</t>
  </si>
  <si>
    <t xml:space="preserve"> Colt 36 </t>
  </si>
  <si>
    <t xml:space="preserve"> Columbia </t>
  </si>
  <si>
    <t xml:space="preserve"> Comando Quatro </t>
  </si>
  <si>
    <t xml:space="preserve"> Comando Tracer </t>
  </si>
  <si>
    <t xml:space="preserve"> Comarques De Catalunya </t>
  </si>
  <si>
    <t>CENTRE D'ESTUDIS CATALUN</t>
  </si>
  <si>
    <t xml:space="preserve"> Comblot </t>
  </si>
  <si>
    <t>SPRITES</t>
  </si>
  <si>
    <t xml:space="preserve"> Come On !</t>
  </si>
  <si>
    <t xml:space="preserve"> Come On! Picot!! </t>
  </si>
  <si>
    <t xml:space="preserve"> Comecocos </t>
  </si>
  <si>
    <t xml:space="preserve"> Comet Tail </t>
  </si>
  <si>
    <t xml:space="preserve"> Comic Bakery </t>
  </si>
  <si>
    <t xml:space="preserve"> Compile Gamecase </t>
  </si>
  <si>
    <t xml:space="preserve"> Compra y Vende </t>
  </si>
  <si>
    <t xml:space="preserve"> Computadora Adivina </t>
  </si>
  <si>
    <t xml:space="preserve"> Computer Billiards  - Konami's Billiards</t>
  </si>
  <si>
    <t xml:space="preserve"> Computer Chess </t>
  </si>
  <si>
    <t xml:space="preserve"> Computer Othello</t>
  </si>
  <si>
    <t xml:space="preserve"> Computer Pachinko </t>
  </si>
  <si>
    <t xml:space="preserve"> Computer Wars </t>
  </si>
  <si>
    <t xml:space="preserve"> Conde De Monte Cristo </t>
  </si>
  <si>
    <t>NEMESIS SOFTWARE</t>
  </si>
  <si>
    <t xml:space="preserve"> Con-Dori </t>
  </si>
  <si>
    <t>CROSS TALK</t>
  </si>
  <si>
    <t xml:space="preserve"> Confused </t>
  </si>
  <si>
    <t xml:space="preserve"> Congo </t>
  </si>
  <si>
    <t xml:space="preserve"> Congo Bongo </t>
  </si>
  <si>
    <t xml:space="preserve"> Continental Circus </t>
  </si>
  <si>
    <t xml:space="preserve"> Contract Bridge </t>
  </si>
  <si>
    <t xml:space="preserve"> Coppa Proibita </t>
  </si>
  <si>
    <t>SOFT BEE</t>
  </si>
  <si>
    <t xml:space="preserve"> Corsarios </t>
  </si>
  <si>
    <t xml:space="preserve"> Cosa Nostra </t>
  </si>
  <si>
    <t xml:space="preserve"> Cosme Estible </t>
  </si>
  <si>
    <t xml:space="preserve"> Cosmic Battle</t>
  </si>
  <si>
    <t>VENDETTA</t>
  </si>
  <si>
    <t xml:space="preserve"> Cosmic Sheriff </t>
  </si>
  <si>
    <t xml:space="preserve"> Cosmic Shock Absorber </t>
  </si>
  <si>
    <t xml:space="preserve"> Cosmic Soldier 2 - Psychic War </t>
  </si>
  <si>
    <t>KOGADO</t>
  </si>
  <si>
    <t xml:space="preserve"> Cosmo Explorer </t>
  </si>
  <si>
    <t xml:space="preserve"> Cosmo Traveler </t>
  </si>
  <si>
    <t xml:space="preserve"> Cosmos </t>
  </si>
  <si>
    <t>CLUB MSX</t>
  </si>
  <si>
    <t xml:space="preserve"> Courageous Perseus </t>
  </si>
  <si>
    <t>COSMOS COMPUTER</t>
  </si>
  <si>
    <t xml:space="preserve"> Craze </t>
  </si>
  <si>
    <t>HEART SOFT</t>
  </si>
  <si>
    <t xml:space="preserve"> Crazy Buggy </t>
  </si>
  <si>
    <t xml:space="preserve"> Crazy Bullet </t>
  </si>
  <si>
    <t xml:space="preserve"> Crazy Cars </t>
  </si>
  <si>
    <t>TITUS</t>
  </si>
  <si>
    <t xml:space="preserve"> Crazy MSX Frenchies</t>
  </si>
  <si>
    <t>JIPE &amp; MSX CAFE</t>
  </si>
  <si>
    <t xml:space="preserve"> Crazy Train </t>
  </si>
  <si>
    <t xml:space="preserve"> Cresta Run </t>
  </si>
  <si>
    <t xml:space="preserve"> Cribbage </t>
  </si>
  <si>
    <t>KUMA</t>
  </si>
  <si>
    <t xml:space="preserve"> Cronos </t>
  </si>
  <si>
    <t>BARNAJOCS</t>
  </si>
  <si>
    <t xml:space="preserve"> Cross Blaim </t>
  </si>
  <si>
    <t xml:space="preserve"> Crossing, The </t>
  </si>
  <si>
    <t xml:space="preserve"> Crucigrama Matematico </t>
  </si>
  <si>
    <t>DATA MSX</t>
  </si>
  <si>
    <t xml:space="preserve"> Crusader </t>
  </si>
  <si>
    <t xml:space="preserve"> Crux </t>
  </si>
  <si>
    <t>BITS ART</t>
  </si>
  <si>
    <t xml:space="preserve"> Cubik. Rubick </t>
  </si>
  <si>
    <t xml:space="preserve"> Cubit </t>
  </si>
  <si>
    <t xml:space="preserve"> Cubos Malucos </t>
  </si>
  <si>
    <t>VALLE PAIVA</t>
  </si>
  <si>
    <t xml:space="preserve"> Cure, The </t>
  </si>
  <si>
    <t>XL2S ENTERTAINMENT</t>
  </si>
  <si>
    <t xml:space="preserve"> Curro Jimenez </t>
  </si>
  <si>
    <t xml:space="preserve"> Cyberbig </t>
  </si>
  <si>
    <t xml:space="preserve"> Cyberun </t>
  </si>
  <si>
    <t xml:space="preserve"> Cyclon </t>
  </si>
  <si>
    <t xml:space="preserve"> Cyrus 2 Chess </t>
  </si>
  <si>
    <t>INTELLIGENT</t>
  </si>
  <si>
    <t xml:space="preserve"> Cytoplasm</t>
  </si>
  <si>
    <t xml:space="preserve"> Daedalian Opus</t>
  </si>
  <si>
    <t xml:space="preserve"> Daidasso. Great Escape </t>
  </si>
  <si>
    <t>CARRY LAB</t>
  </si>
  <si>
    <t xml:space="preserve"> Daishogai Keiba. Exciting Jockey </t>
  </si>
  <si>
    <t xml:space="preserve"> Daiva Story 4 - Asura's Bloodfeud </t>
  </si>
  <si>
    <t xml:space="preserve"> Dam Busters, The </t>
  </si>
  <si>
    <t xml:space="preserve"> Damas </t>
  </si>
  <si>
    <t xml:space="preserve"> Danger Mouse</t>
  </si>
  <si>
    <t xml:space="preserve"> Danger Tower</t>
  </si>
  <si>
    <t>DANGER TEAM</t>
  </si>
  <si>
    <t xml:space="preserve"> Danger X4 </t>
  </si>
  <si>
    <t xml:space="preserve"> Dark</t>
  </si>
  <si>
    <t>ARCADIA SOFT</t>
  </si>
  <si>
    <t xml:space="preserve"> Darkwood Manor </t>
  </si>
  <si>
    <t xml:space="preserve"> Darts</t>
  </si>
  <si>
    <t xml:space="preserve"> Darts </t>
  </si>
  <si>
    <t xml:space="preserve"> Darts 180</t>
  </si>
  <si>
    <t xml:space="preserve"> David II</t>
  </si>
  <si>
    <t xml:space="preserve"> Dawn Patrol – Red Dawn</t>
  </si>
  <si>
    <t xml:space="preserve"> D-Day </t>
  </si>
  <si>
    <t xml:space="preserve"> De Grotten Van Oberon</t>
  </si>
  <si>
    <t>RADAR SOFT</t>
  </si>
  <si>
    <t xml:space="preserve"> De Sprinter </t>
  </si>
  <si>
    <t xml:space="preserve"> Death Valley Gold Rush </t>
  </si>
  <si>
    <t xml:space="preserve"> Death Wish 3</t>
  </si>
  <si>
    <t xml:space="preserve"> Decathlon </t>
  </si>
  <si>
    <t xml:space="preserve"> Deep Dungeon</t>
  </si>
  <si>
    <t>ARTRAG, DEMONSEED, HUEY</t>
  </si>
  <si>
    <t xml:space="preserve"> Deep Dungeon </t>
  </si>
  <si>
    <t>SCAPTRUST</t>
  </si>
  <si>
    <t xml:space="preserve"> Deep Dungeon II</t>
  </si>
  <si>
    <t xml:space="preserve"> Defcom1 </t>
  </si>
  <si>
    <t>IBER SOFT</t>
  </si>
  <si>
    <t xml:space="preserve"> Defender Foxx </t>
  </si>
  <si>
    <t xml:space="preserve"> Demand </t>
  </si>
  <si>
    <t xml:space="preserve"> Demon Crystal, The </t>
  </si>
  <si>
    <t xml:space="preserve"> Demon Crystal Saga II - Knither Special</t>
  </si>
  <si>
    <t xml:space="preserve"> Descubrimiento De America </t>
  </si>
  <si>
    <t>OMIKRON SOFTWARE</t>
  </si>
  <si>
    <t xml:space="preserve"> Desolator </t>
  </si>
  <si>
    <t xml:space="preserve"> Desperado (Gunsmoke)</t>
  </si>
  <si>
    <t xml:space="preserve"> Desperado 2 </t>
  </si>
  <si>
    <t xml:space="preserve"> Destroyer </t>
  </si>
  <si>
    <t xml:space="preserve"> Detective Orson Welles</t>
  </si>
  <si>
    <t xml:space="preserve"> Deux Ex Machina </t>
  </si>
  <si>
    <t xml:space="preserve"> Devil Hunter </t>
  </si>
  <si>
    <t xml:space="preserve"> Devil's Castle, The </t>
  </si>
  <si>
    <t>MANHATTAN TRANSFER</t>
  </si>
  <si>
    <t xml:space="preserve"> Devil's Heaven </t>
  </si>
  <si>
    <t xml:space="preserve"> Devorado </t>
  </si>
  <si>
    <t xml:space="preserve"> Dezeni Land </t>
  </si>
  <si>
    <t xml:space="preserve"> Diamond Luis 1 </t>
  </si>
  <si>
    <t>IKE SOFT</t>
  </si>
  <si>
    <t xml:space="preserve"> Diamond Mine 2 </t>
  </si>
  <si>
    <t xml:space="preserve"> Dig Dug </t>
  </si>
  <si>
    <t xml:space="preserve"> Dimension Omega </t>
  </si>
  <si>
    <t xml:space="preserve"> Dinamite Dan </t>
  </si>
  <si>
    <t xml:space="preserve"> Dino </t>
  </si>
  <si>
    <t xml:space="preserve"> Dip Dip </t>
  </si>
  <si>
    <t xml:space="preserve"> Disc Warrior </t>
  </si>
  <si>
    <t xml:space="preserve"> Discovery  </t>
  </si>
  <si>
    <t xml:space="preserve"> Dizzy Ball </t>
  </si>
  <si>
    <t xml:space="preserve"> Dizzy Balloon </t>
  </si>
  <si>
    <t xml:space="preserve"> Dizzy Dice </t>
  </si>
  <si>
    <t>PLAYERS</t>
  </si>
  <si>
    <t>HASARD</t>
  </si>
  <si>
    <t xml:space="preserve"> Docteur Galaxie </t>
  </si>
  <si>
    <t>FREDERIC PUTEAUX</t>
  </si>
  <si>
    <t xml:space="preserve"> Dodgems </t>
  </si>
  <si>
    <t xml:space="preserve"> Dog Fighter </t>
  </si>
  <si>
    <t xml:space="preserve"> Doki Doki Penguin Land </t>
  </si>
  <si>
    <t xml:space="preserve"> Domino </t>
  </si>
  <si>
    <t xml:space="preserve"> Don Quijote</t>
  </si>
  <si>
    <t xml:space="preserve"> Donkey Kong </t>
  </si>
  <si>
    <t xml:space="preserve"> Donpan</t>
  </si>
  <si>
    <t xml:space="preserve"> Doordoor mk2</t>
  </si>
  <si>
    <t xml:space="preserve"> Dorodon </t>
  </si>
  <si>
    <t>UPL</t>
  </si>
  <si>
    <t xml:space="preserve"> Double Dragon </t>
  </si>
  <si>
    <t xml:space="preserve"> Double Dragon II - The Revenge </t>
  </si>
  <si>
    <t xml:space="preserve"> Double Rotation </t>
  </si>
  <si>
    <t>MAX IT</t>
  </si>
  <si>
    <t xml:space="preserve"> Dr Archie</t>
  </si>
  <si>
    <t>MICROTAC SOFTWARE</t>
  </si>
  <si>
    <t xml:space="preserve"> Dr. Jackle And Mr. Wide</t>
  </si>
  <si>
    <t xml:space="preserve"> Dracula </t>
  </si>
  <si>
    <t xml:space="preserve"> Dragon Attack </t>
  </si>
  <si>
    <t xml:space="preserve"> Dragon Ninja </t>
  </si>
  <si>
    <t>IMAGINE</t>
  </si>
  <si>
    <t xml:space="preserve"> Dragon Quest </t>
  </si>
  <si>
    <t xml:space="preserve"> Dragon Quest II </t>
  </si>
  <si>
    <t>ENIS</t>
  </si>
  <si>
    <t xml:space="preserve"> Dragon Slayer </t>
  </si>
  <si>
    <t xml:space="preserve"> Dragon Slayer 2 - Xanadu </t>
  </si>
  <si>
    <t>FALCOM</t>
  </si>
  <si>
    <t xml:space="preserve"> Dragon Slayer 3 - Romancia. Dragon Slayer Jr </t>
  </si>
  <si>
    <t xml:space="preserve"> Dragon Slayer 4 - Drasle Family</t>
  </si>
  <si>
    <t xml:space="preserve"> DRAINER</t>
  </si>
  <si>
    <t>FUN PROJECT</t>
  </si>
  <si>
    <t xml:space="preserve"> Draughts </t>
  </si>
  <si>
    <t xml:space="preserve"> Drazen Petrovic Basket </t>
  </si>
  <si>
    <t xml:space="preserve"> Dream Runaway </t>
  </si>
  <si>
    <t xml:space="preserve"> Driller Tanks </t>
  </si>
  <si>
    <t xml:space="preserve"> Drink It! </t>
  </si>
  <si>
    <t xml:space="preserve"> Droids The White Witch </t>
  </si>
  <si>
    <t>WALTHER MILLER</t>
  </si>
  <si>
    <t xml:space="preserve"> Drome </t>
  </si>
  <si>
    <t xml:space="preserve"> Dropgame </t>
  </si>
  <si>
    <t>J. BROUWER</t>
  </si>
  <si>
    <t xml:space="preserve"> Duck Hunt </t>
  </si>
  <si>
    <t xml:space="preserve"> Ducky </t>
  </si>
  <si>
    <t>TURBO SOFT</t>
  </si>
  <si>
    <t xml:space="preserve"> Dungeon Hunter </t>
  </si>
  <si>
    <t xml:space="preserve"> Dungeon Master </t>
  </si>
  <si>
    <t xml:space="preserve"> Dungeon Mystery II </t>
  </si>
  <si>
    <t>SCORPIONSOFT</t>
  </si>
  <si>
    <t xml:space="preserve"> Dunk Shot </t>
  </si>
  <si>
    <t xml:space="preserve"> Dustin </t>
  </si>
  <si>
    <t xml:space="preserve"> Dynamite Bowl </t>
  </si>
  <si>
    <t>SOFTVISION</t>
  </si>
  <si>
    <t xml:space="preserve"> Dynamite Dan  </t>
  </si>
  <si>
    <t xml:space="preserve"> E.I. - Exa Innova </t>
  </si>
  <si>
    <t>PROGRAMMERS 3</t>
  </si>
  <si>
    <t xml:space="preserve"> Eagle </t>
  </si>
  <si>
    <t xml:space="preserve"> Eagle Control </t>
  </si>
  <si>
    <t xml:space="preserve"> Eagle Fighter </t>
  </si>
  <si>
    <t xml:space="preserve"> Earth </t>
  </si>
  <si>
    <t>CRAZY SOFT</t>
  </si>
  <si>
    <t xml:space="preserve"> Eat Blue! </t>
  </si>
  <si>
    <t>PAXANGA SOFT</t>
  </si>
  <si>
    <t xml:space="preserve"> Eat It </t>
  </si>
  <si>
    <t xml:space="preserve"> Eddie Kidd Jump Challenge </t>
  </si>
  <si>
    <t xml:space="preserve"> Eggerland Mistery </t>
  </si>
  <si>
    <t xml:space="preserve"> Eggerland Mistery 2 </t>
  </si>
  <si>
    <t xml:space="preserve"> Eggy </t>
  </si>
  <si>
    <t xml:space="preserve"> El Bingo </t>
  </si>
  <si>
    <t xml:space="preserve"> El Castillo De Godless</t>
  </si>
  <si>
    <t xml:space="preserve"> El Cid </t>
  </si>
  <si>
    <t xml:space="preserve"> El Gerente </t>
  </si>
  <si>
    <t xml:space="preserve"> El Ladron De Pasteles </t>
  </si>
  <si>
    <t>ADVANCE</t>
  </si>
  <si>
    <t xml:space="preserve"> El Mago Volador </t>
  </si>
  <si>
    <t xml:space="preserve"> El Misterio Del Nilo </t>
  </si>
  <si>
    <t xml:space="preserve"> El Motorista Sideral </t>
  </si>
  <si>
    <t xml:space="preserve"> El Mundo De Los Gases </t>
  </si>
  <si>
    <t>EDICIONES SM</t>
  </si>
  <si>
    <t xml:space="preserve"> El Mundo Perdido </t>
  </si>
  <si>
    <t xml:space="preserve"> El Numero Fantasma </t>
  </si>
  <si>
    <t xml:space="preserve"> El Poder Oscuro</t>
  </si>
  <si>
    <t xml:space="preserve"> El Sabiondo </t>
  </si>
  <si>
    <t xml:space="preserve"> Elevator Action </t>
  </si>
  <si>
    <t xml:space="preserve"> Elidon </t>
  </si>
  <si>
    <t xml:space="preserve"> Elite </t>
  </si>
  <si>
    <t>FIREBIRD</t>
  </si>
  <si>
    <t xml:space="preserve"> Emerald Isle </t>
  </si>
  <si>
    <t>LEVEL 9 COMPUTING</t>
  </si>
  <si>
    <t xml:space="preserve"> Emilio Butragueno Futbol </t>
  </si>
  <si>
    <t xml:space="preserve"> Emilio Butragueno Futbol II </t>
  </si>
  <si>
    <t xml:space="preserve"> Emilio Sanchez Vicario Grand Slam </t>
  </si>
  <si>
    <t xml:space="preserve"> En La Edad Media </t>
  </si>
  <si>
    <t xml:space="preserve"> En Ruta </t>
  </si>
  <si>
    <t>BIOSOFT</t>
  </si>
  <si>
    <t xml:space="preserve"> Enchanted </t>
  </si>
  <si>
    <t>FLIPPER</t>
  </si>
  <si>
    <t xml:space="preserve"> Enemy Trap </t>
  </si>
  <si>
    <t>GERMAN SOFT</t>
  </si>
  <si>
    <t xml:space="preserve"> Enigma </t>
  </si>
  <si>
    <t>VOLKER BECKER</t>
  </si>
  <si>
    <t xml:space="preserve"> Eric And The Floaters </t>
  </si>
  <si>
    <t xml:space="preserve"> Erika SF Adult Adventure</t>
  </si>
  <si>
    <t>JAST</t>
  </si>
  <si>
    <t xml:space="preserve"> Escalador </t>
  </si>
  <si>
    <t xml:space="preserve"> Estrada De Ferro </t>
  </si>
  <si>
    <t>EDITORA ALEPH</t>
  </si>
  <si>
    <t xml:space="preserve"> Esvay </t>
  </si>
  <si>
    <t>CD SYSTEMS</t>
  </si>
  <si>
    <t xml:space="preserve"> European Games </t>
  </si>
  <si>
    <t xml:space="preserve"> European Higway Racing </t>
  </si>
  <si>
    <t>SECOND FOUNDATION</t>
  </si>
  <si>
    <t xml:space="preserve"> Ewoks And The Dandelion Warrior </t>
  </si>
  <si>
    <t xml:space="preserve"> Exchanger </t>
  </si>
  <si>
    <t xml:space="preserve"> Exerion </t>
  </si>
  <si>
    <t xml:space="preserve"> Exerion II - Zorni </t>
  </si>
  <si>
    <t xml:space="preserve"> Exodus </t>
  </si>
  <si>
    <t xml:space="preserve"> Exoide-z </t>
  </si>
  <si>
    <t xml:space="preserve"> Exoide-Z Area 5 </t>
  </si>
  <si>
    <t xml:space="preserve"> Exploding Atoms </t>
  </si>
  <si>
    <t>KNIGHTS</t>
  </si>
  <si>
    <t xml:space="preserve"> Exterminator </t>
  </si>
  <si>
    <t xml:space="preserve"> F-1 Spirit - The Way to Formula 1 </t>
  </si>
  <si>
    <t>COURSE</t>
  </si>
  <si>
    <t xml:space="preserve"> F15 Strike Eagle </t>
  </si>
  <si>
    <t>MICROPROSE</t>
  </si>
  <si>
    <t>MEGAROM/DISQUETTE</t>
  </si>
  <si>
    <t xml:space="preserve"> F16 Fighting Falcon</t>
  </si>
  <si>
    <t>NEXA</t>
  </si>
  <si>
    <t xml:space="preserve"> F747</t>
  </si>
  <si>
    <t xml:space="preserve"> Fa Tetris </t>
  </si>
  <si>
    <t>FA SOFT</t>
  </si>
  <si>
    <t xml:space="preserve"> Factory Infection </t>
  </si>
  <si>
    <t xml:space="preserve"> Fairy </t>
  </si>
  <si>
    <t>ZAP</t>
  </si>
  <si>
    <t xml:space="preserve"> Fairyland Story, The </t>
  </si>
  <si>
    <t xml:space="preserve"> Fall Out </t>
  </si>
  <si>
    <t xml:space="preserve"> Fanky Punky</t>
  </si>
  <si>
    <t>PJ SOFTWARE</t>
  </si>
  <si>
    <t xml:space="preserve"> Fantasm Soldier, The (Valis)</t>
  </si>
  <si>
    <t xml:space="preserve"> Fantasy Zone</t>
  </si>
  <si>
    <t xml:space="preserve"> Farge </t>
  </si>
  <si>
    <t>MELODY SOFT</t>
  </si>
  <si>
    <t xml:space="preserve"> Fe Y Vida 8 Egb </t>
  </si>
  <si>
    <t xml:space="preserve"> Fernando Martin Basket Master</t>
  </si>
  <si>
    <t xml:space="preserve"> Fernando Martin master Executive</t>
  </si>
  <si>
    <t xml:space="preserve"> Feud </t>
  </si>
  <si>
    <t xml:space="preserve"> Fighting Rider</t>
  </si>
  <si>
    <t xml:space="preserve"> Fin Pack </t>
  </si>
  <si>
    <t xml:space="preserve"> Final Countdown </t>
  </si>
  <si>
    <t xml:space="preserve"> Final Justice </t>
  </si>
  <si>
    <t>COMPILE</t>
  </si>
  <si>
    <t xml:space="preserve"> Final Mahjong </t>
  </si>
  <si>
    <t xml:space="preserve"> Final Zone Wolf</t>
  </si>
  <si>
    <t xml:space="preserve"> Finders Keepers </t>
  </si>
  <si>
    <t xml:space="preserve"> FireHawk </t>
  </si>
  <si>
    <t xml:space="preserve"> Fire Rescue </t>
  </si>
  <si>
    <t xml:space="preserve"> Fire Star </t>
  </si>
  <si>
    <t xml:space="preserve"> Fire Warrior </t>
  </si>
  <si>
    <t>ELECTROMAGIC</t>
  </si>
  <si>
    <t xml:space="preserve"> First Steps With The Mr. Men</t>
  </si>
  <si>
    <t xml:space="preserve"> Flappy (Limited)</t>
  </si>
  <si>
    <t xml:space="preserve"> Flash Gordon </t>
  </si>
  <si>
    <t xml:space="preserve"> Flash Splash </t>
  </si>
  <si>
    <t xml:space="preserve"> Flashpoint</t>
  </si>
  <si>
    <t xml:space="preserve"> Flicky </t>
  </si>
  <si>
    <t>MICRONET</t>
  </si>
  <si>
    <t xml:space="preserve"> Flics, Les </t>
  </si>
  <si>
    <t xml:space="preserve"> Flight Deck </t>
  </si>
  <si>
    <t>K7/DISQUETTE/ROM</t>
  </si>
  <si>
    <t xml:space="preserve"> Flight Deck 2 </t>
  </si>
  <si>
    <t xml:space="preserve"> Flight Path 737 </t>
  </si>
  <si>
    <t>ANIROG SOFTWARE</t>
  </si>
  <si>
    <t xml:space="preserve"> Flight Simulator </t>
  </si>
  <si>
    <t>SUBLOGIC</t>
  </si>
  <si>
    <t xml:space="preserve"> Flintstones. Los Picapiedra </t>
  </si>
  <si>
    <t xml:space="preserve"> Flipper Slipper </t>
  </si>
  <si>
    <t xml:space="preserve"> Flop Chop </t>
  </si>
  <si>
    <t>JRF</t>
  </si>
  <si>
    <t xml:space="preserve"> Flyboat </t>
  </si>
  <si>
    <t xml:space="preserve"> Follow The Clues </t>
  </si>
  <si>
    <t>MSX COMPUTER</t>
  </si>
  <si>
    <t xml:space="preserve"> Foot Volley</t>
  </si>
  <si>
    <t xml:space="preserve"> Football Manager</t>
  </si>
  <si>
    <t>ADDICTIVE GAMES</t>
  </si>
  <si>
    <t xml:space="preserve"> Football Manager World Cup </t>
  </si>
  <si>
    <t xml:space="preserve"> Footballer Of The Year </t>
  </si>
  <si>
    <t xml:space="preserve"> Forajidos (1986)(Edi Soft)(Sp) </t>
  </si>
  <si>
    <t>EDISOFT</t>
  </si>
  <si>
    <t xml:space="preserve"> Forbidden Fruit </t>
  </si>
  <si>
    <t xml:space="preserve"> Formation Z (1985)(Jaleco) </t>
  </si>
  <si>
    <t xml:space="preserve"> Formula 1 Simulator</t>
  </si>
  <si>
    <t xml:space="preserve"> Formula Dice</t>
  </si>
  <si>
    <t>ROBYLU</t>
  </si>
  <si>
    <t xml:space="preserve"> Frecce! </t>
  </si>
  <si>
    <t>3P</t>
  </si>
  <si>
    <t xml:space="preserve"> Fred And The Bubloids </t>
  </si>
  <si>
    <t>MSOFT</t>
  </si>
  <si>
    <t xml:space="preserve"> Freddy Hardest</t>
  </si>
  <si>
    <t xml:space="preserve"> Freddy Hardest in South Manhattan</t>
  </si>
  <si>
    <t xml:space="preserve"> Frog </t>
  </si>
  <si>
    <t>ACE</t>
  </si>
  <si>
    <t xml:space="preserve">ACTION </t>
  </si>
  <si>
    <t xml:space="preserve"> Frogger</t>
  </si>
  <si>
    <t xml:space="preserve"> Fronton (1987)(Scorpio)(Sp) </t>
  </si>
  <si>
    <t>SCORPIO</t>
  </si>
  <si>
    <t>DK TRONICS</t>
  </si>
  <si>
    <t xml:space="preserve"> Fun Words (1984)(Softcat) </t>
  </si>
  <si>
    <t>SOFTCAT</t>
  </si>
  <si>
    <t xml:space="preserve"> Fuzzball - Quebert</t>
  </si>
  <si>
    <t>AA SOFTWARE</t>
  </si>
  <si>
    <t xml:space="preserve"> Galaxians</t>
  </si>
  <si>
    <t xml:space="preserve"> Galf</t>
  </si>
  <si>
    <t>GAME MASTER WIM</t>
  </si>
  <si>
    <t xml:space="preserve"> Galleon</t>
  </si>
  <si>
    <t xml:space="preserve"> Gambler Jikichushinpa </t>
  </si>
  <si>
    <t>GAME ARTS</t>
  </si>
  <si>
    <t>TRICHE</t>
  </si>
  <si>
    <t xml:space="preserve"> Game World</t>
  </si>
  <si>
    <t>SHOOT THEM UP+OUTIL</t>
  </si>
  <si>
    <t xml:space="preserve"> Gary Lineker's Super Star Soccer</t>
  </si>
  <si>
    <t>KOMEYA</t>
  </si>
  <si>
    <t xml:space="preserve"> Gema </t>
  </si>
  <si>
    <t>KOEI</t>
  </si>
  <si>
    <t>K7/MEGAROM</t>
  </si>
  <si>
    <t xml:space="preserve"> Genova </t>
  </si>
  <si>
    <t xml:space="preserve"> Ghost Maze</t>
  </si>
  <si>
    <t xml:space="preserve"> Ghost Time</t>
  </si>
  <si>
    <t>M&amp;E SOFT</t>
  </si>
  <si>
    <t>FOURSFIELD</t>
  </si>
  <si>
    <t xml:space="preserve"> Ghostly Manor</t>
  </si>
  <si>
    <t>MONOSOFT</t>
  </si>
  <si>
    <t>PROECO</t>
  </si>
  <si>
    <t xml:space="preserve"> Gniffel v 2</t>
  </si>
  <si>
    <t>TOHO CINEFILE</t>
  </si>
  <si>
    <t xml:space="preserve"> Gold Mines, La Mina De Oro</t>
  </si>
  <si>
    <t>INTELLIGENCE GAMES</t>
  </si>
  <si>
    <t xml:space="preserve"> Golem</t>
  </si>
  <si>
    <t>1984</t>
  </si>
  <si>
    <t xml:space="preserve"> Golf Simulator</t>
  </si>
  <si>
    <t xml:space="preserve"> Guardian Stripdobbleen</t>
  </si>
  <si>
    <t xml:space="preserve"> Gum Shoe Logic </t>
  </si>
  <si>
    <t>MEGACYCAL SOFTWARE</t>
  </si>
  <si>
    <t>COSMO</t>
  </si>
  <si>
    <t xml:space="preserve"> Gunstreet</t>
  </si>
  <si>
    <t xml:space="preserve"> Gyrodine</t>
  </si>
  <si>
    <t xml:space="preserve"> H.E.R.O</t>
  </si>
  <si>
    <t xml:space="preserve"> Habilit</t>
  </si>
  <si>
    <t xml:space="preserve"> Hades</t>
  </si>
  <si>
    <t xml:space="preserve"> Baseball Msx </t>
  </si>
  <si>
    <t>MATSUCHITA ELECTRIC</t>
  </si>
  <si>
    <t xml:space="preserve"> Hadesu no Monshou. The Seal of Hades </t>
  </si>
  <si>
    <t xml:space="preserve"> Haja Fuin</t>
  </si>
  <si>
    <t xml:space="preserve"> Hal Gamecase</t>
  </si>
  <si>
    <t xml:space="preserve"> Haller</t>
  </si>
  <si>
    <t>COMTROM SOFTWARE</t>
  </si>
  <si>
    <t xml:space="preserve"> Hammer Boy</t>
  </si>
  <si>
    <t xml:space="preserve"> Hanafuda</t>
  </si>
  <si>
    <t>COMTEC</t>
  </si>
  <si>
    <t xml:space="preserve"> Hanafuda Koikoi</t>
  </si>
  <si>
    <t>RAMSOFT</t>
  </si>
  <si>
    <t xml:space="preserve"> Hang-On </t>
  </si>
  <si>
    <t xml:space="preserve"> Happy Fret</t>
  </si>
  <si>
    <t>MICROCABIN</t>
  </si>
  <si>
    <t xml:space="preserve"> Harapeko Pakkun</t>
  </si>
  <si>
    <t xml:space="preserve"> Hard Boiled</t>
  </si>
  <si>
    <t xml:space="preserve"> Harry Fox</t>
  </si>
  <si>
    <t xml:space="preserve"> Harry Fox Special</t>
  </si>
  <si>
    <t xml:space="preserve"> Harvey Smith's Showjumper</t>
  </si>
  <si>
    <t>SOFTWARE PROJECT</t>
  </si>
  <si>
    <t xml:space="preserve"> Haunted House</t>
  </si>
  <si>
    <t xml:space="preserve"> Hayabusa. Moonsweeper</t>
  </si>
  <si>
    <t>TOSHIBA EMI</t>
  </si>
  <si>
    <t xml:space="preserve"> Head over Heels</t>
  </si>
  <si>
    <t xml:space="preserve"> Heat Seeker </t>
  </si>
  <si>
    <t xml:space="preserve"> Heavy Boxing</t>
  </si>
  <si>
    <t xml:space="preserve"> Heist, The </t>
  </si>
  <si>
    <t xml:space="preserve"> Heli tank</t>
  </si>
  <si>
    <t xml:space="preserve"> Heli War </t>
  </si>
  <si>
    <t xml:space="preserve"> Hercule</t>
  </si>
  <si>
    <t>INFOGRAMES</t>
  </si>
  <si>
    <t xml:space="preserve"> Hercules - Slayer of the Damned  </t>
  </si>
  <si>
    <t xml:space="preserve"> Here &amp; There with the Mr. Men</t>
  </si>
  <si>
    <t xml:space="preserve"> Hero-X</t>
  </si>
  <si>
    <t>H. ITSUI</t>
  </si>
  <si>
    <t xml:space="preserve"> Het Damspel MSX Dammes</t>
  </si>
  <si>
    <t>MSX GIDS</t>
  </si>
  <si>
    <t xml:space="preserve"> Het Verlaten Kerkhof</t>
  </si>
  <si>
    <t>PEVOCRACK</t>
  </si>
  <si>
    <t xml:space="preserve"> High Way Star</t>
  </si>
  <si>
    <t>WAY LIMIT</t>
  </si>
  <si>
    <t xml:space="preserve"> Highway Encounter</t>
  </si>
  <si>
    <t>VORTEX</t>
  </si>
  <si>
    <t xml:space="preserve"> Hiper Tronic</t>
  </si>
  <si>
    <t xml:space="preserve"> Hisha</t>
  </si>
  <si>
    <t xml:space="preserve"> Hitchika: the hitchiker's guide to the galaxy</t>
  </si>
  <si>
    <t xml:space="preserve"> Hitsuji Yai. Pretty Sheep</t>
  </si>
  <si>
    <t xml:space="preserve"> Hobbit, The</t>
  </si>
  <si>
    <t xml:space="preserve"> Hole in One</t>
  </si>
  <si>
    <t xml:space="preserve"> Hole in One Professional</t>
  </si>
  <si>
    <t xml:space="preserve"> Hollywood Hijinx</t>
  </si>
  <si>
    <t xml:space="preserve"> Hopper </t>
  </si>
  <si>
    <t xml:space="preserve"> Horror em Amityville</t>
  </si>
  <si>
    <t>MATIAS MSX SOFTWARE</t>
  </si>
  <si>
    <t xml:space="preserve"> Hose Diogo Martinez: The Bussas Quest</t>
  </si>
  <si>
    <t>MUFFIE</t>
  </si>
  <si>
    <t xml:space="preserve"> Hostages</t>
  </si>
  <si>
    <t>NEW FRONTIER</t>
  </si>
  <si>
    <t xml:space="preserve"> Hot Dog</t>
  </si>
  <si>
    <t xml:space="preserve"> Hot Shoe</t>
  </si>
  <si>
    <t>LONGMAN</t>
  </si>
  <si>
    <t xml:space="preserve"> Howard the Duck</t>
  </si>
  <si>
    <t xml:space="preserve"> Hugh</t>
  </si>
  <si>
    <t xml:space="preserve"> Humphrey</t>
  </si>
  <si>
    <t xml:space="preserve"> Humphrey </t>
  </si>
  <si>
    <t xml:space="preserve"> Hunchback</t>
  </si>
  <si>
    <t xml:space="preserve"> Hundra</t>
  </si>
  <si>
    <t xml:space="preserve"> Hungry Harry</t>
  </si>
  <si>
    <t>P&amp;M MUNDY</t>
  </si>
  <si>
    <t xml:space="preserve"> Hunt for Red October, The </t>
  </si>
  <si>
    <t xml:space="preserve"> Hunter Killer</t>
  </si>
  <si>
    <t xml:space="preserve"> Hurricane</t>
  </si>
  <si>
    <t>MICROLAND</t>
  </si>
  <si>
    <t xml:space="preserve"> Hustle</t>
  </si>
  <si>
    <t>MAZ SOFT</t>
  </si>
  <si>
    <t xml:space="preserve"> Hustle Chumy</t>
  </si>
  <si>
    <t xml:space="preserve"> Hustler </t>
  </si>
  <si>
    <t>BUBBLE BUS SOFTWARE</t>
  </si>
  <si>
    <t xml:space="preserve"> Hyde</t>
  </si>
  <si>
    <t>1984?</t>
  </si>
  <si>
    <t xml:space="preserve"> Hydlide</t>
  </si>
  <si>
    <t xml:space="preserve"> Hydlide II - Shine of Darkness</t>
  </si>
  <si>
    <t xml:space="preserve"> Hydlide III - The Space Memories </t>
  </si>
  <si>
    <t xml:space="preserve"> Hype</t>
  </si>
  <si>
    <t xml:space="preserve"> Hyper Olympic 1 (Track &amp; Field 1)] </t>
  </si>
  <si>
    <t xml:space="preserve"> Hyper Olympic 2 (Track &amp; Field 2) </t>
  </si>
  <si>
    <t xml:space="preserve"> Hyper Rally </t>
  </si>
  <si>
    <t xml:space="preserve"> Hyper Sports 1</t>
  </si>
  <si>
    <t xml:space="preserve"> Hyper Sports 2</t>
  </si>
  <si>
    <t xml:space="preserve"> Hyper Sports 3</t>
  </si>
  <si>
    <t xml:space="preserve"> Hyper Viper</t>
  </si>
  <si>
    <t xml:space="preserve"> Hyperball </t>
  </si>
  <si>
    <t xml:space="preserve"> Hypsys </t>
  </si>
  <si>
    <t>TECHNO ARTS</t>
  </si>
  <si>
    <t xml:space="preserve"> Ice</t>
  </si>
  <si>
    <t xml:space="preserve"> Ice King, The</t>
  </si>
  <si>
    <t xml:space="preserve"> Ice World </t>
  </si>
  <si>
    <t xml:space="preserve"> Ice-Breaker </t>
  </si>
  <si>
    <t xml:space="preserve"> Icicle Works</t>
  </si>
  <si>
    <t>ASSHOLE</t>
  </si>
  <si>
    <t xml:space="preserve"> Iconia </t>
  </si>
  <si>
    <t>PANACOM</t>
  </si>
  <si>
    <t xml:space="preserve"> IdeaType - Instructor Mecanografico</t>
  </si>
  <si>
    <t xml:space="preserve"> Iga Ninpou Chou</t>
  </si>
  <si>
    <t xml:space="preserve"> Iga Ninpou Chou Mangetsujou no Tatakai</t>
  </si>
  <si>
    <t xml:space="preserve"> Igloo</t>
  </si>
  <si>
    <t>GARBI SOFT</t>
  </si>
  <si>
    <t xml:space="preserve"> Ilha do Tesouro, A </t>
  </si>
  <si>
    <t>FERNANDO TOLLENDAL</t>
  </si>
  <si>
    <t xml:space="preserve"> Iligks Episode I – Theseus</t>
  </si>
  <si>
    <t xml:space="preserve"> Iligks Episode IV - The Maze of Illegus</t>
  </si>
  <si>
    <t xml:space="preserve"> Illusions</t>
  </si>
  <si>
    <t xml:space="preserve"> Inca </t>
  </si>
  <si>
    <t xml:space="preserve"> Indian no Bouken. Indian's Adventure</t>
  </si>
  <si>
    <t xml:space="preserve"> Indiana Jones and the Last Crusade </t>
  </si>
  <si>
    <t xml:space="preserve"> Indiana Jones and the Temple of Doom</t>
  </si>
  <si>
    <t xml:space="preserve"> Indoor Race</t>
  </si>
  <si>
    <t xml:space="preserve"> Indy 500</t>
  </si>
  <si>
    <t xml:space="preserve"> Indy 555 </t>
  </si>
  <si>
    <t xml:space="preserve"> I need speed</t>
  </si>
  <si>
    <t>CEZGS</t>
  </si>
  <si>
    <t xml:space="preserve"> Inertia</t>
  </si>
  <si>
    <t>Andrea Rossetti</t>
  </si>
  <si>
    <t xml:space="preserve"> Infernal Miner</t>
  </si>
  <si>
    <t xml:space="preserve"> Inhumanos, Los </t>
  </si>
  <si>
    <t>DELTA</t>
  </si>
  <si>
    <t xml:space="preserve"> International Karate</t>
  </si>
  <si>
    <t>ENDURANCE GAMES</t>
  </si>
  <si>
    <t xml:space="preserve"> Intrepido </t>
  </si>
  <si>
    <t xml:space="preserve"> Invaders</t>
  </si>
  <si>
    <t xml:space="preserve"> Invasion</t>
  </si>
  <si>
    <t xml:space="preserve"> Invasion of the Zombie monsters </t>
  </si>
  <si>
    <t>RELEVO VIDEOGAMES</t>
  </si>
  <si>
    <t xml:space="preserve"> Invierte y Gana</t>
  </si>
  <si>
    <t xml:space="preserve"> Iron Eagle </t>
  </si>
  <si>
    <t>GVH</t>
  </si>
  <si>
    <t xml:space="preserve"> Iron Gauntz, The</t>
  </si>
  <si>
    <t>OOPS</t>
  </si>
  <si>
    <t xml:space="preserve"> Iron of the War</t>
  </si>
  <si>
    <t xml:space="preserve"> Issunboushi No Donnamondai. Little Samurai</t>
  </si>
  <si>
    <t xml:space="preserve"> Italia '90 - World Cup Soccer </t>
  </si>
  <si>
    <t xml:space="preserve"> Italian Stallion</t>
  </si>
  <si>
    <t>IMPULSE 9</t>
  </si>
  <si>
    <t xml:space="preserve"> Ito Ipi</t>
  </si>
  <si>
    <t>JOSE BENITEZ</t>
  </si>
  <si>
    <t xml:space="preserve"> J.P. Winkle</t>
  </si>
  <si>
    <t xml:space="preserve"> Jabato</t>
  </si>
  <si>
    <t xml:space="preserve"> Jack the Nipper</t>
  </si>
  <si>
    <t xml:space="preserve"> Jack the Nipper II - In Coconut Capers</t>
  </si>
  <si>
    <t xml:space="preserve"> Jagur</t>
  </si>
  <si>
    <t xml:space="preserve"> Jake in the Caves</t>
  </si>
  <si>
    <t>SVL SOFTWARE</t>
  </si>
  <si>
    <t xml:space="preserve"> Janka </t>
  </si>
  <si>
    <t xml:space="preserve"> Janyu Mahjong</t>
  </si>
  <si>
    <t xml:space="preserve"> Japanese Historical Chronology</t>
  </si>
  <si>
    <t>STRATFORD COMPUTER CENTER</t>
  </si>
  <si>
    <t xml:space="preserve"> Jaws</t>
  </si>
  <si>
    <t>INTELLIGENT DESIGN</t>
  </si>
  <si>
    <t xml:space="preserve"> Je Compte </t>
  </si>
  <si>
    <t xml:space="preserve"> Jet Bomber </t>
  </si>
  <si>
    <t xml:space="preserve"> Jet Fighter </t>
  </si>
  <si>
    <t xml:space="preserve"> Jet Set Willy</t>
  </si>
  <si>
    <t>SOFTWARE PROJECTS</t>
  </si>
  <si>
    <t xml:space="preserve"> Jet Set Willy II - The Final Frontier</t>
  </si>
  <si>
    <t xml:space="preserve"> Jetalfs Strikes Back</t>
  </si>
  <si>
    <t>ELS</t>
  </si>
  <si>
    <t xml:space="preserve"> Jewels of Darkness I - Colossal Adventure </t>
  </si>
  <si>
    <t xml:space="preserve"> Jewels of Darkness II - Adventure Quest</t>
  </si>
  <si>
    <t xml:space="preserve"> Jewels of Darkness III - Dungeon Adventure</t>
  </si>
  <si>
    <t xml:space="preserve"> Jigsaw Set</t>
  </si>
  <si>
    <t xml:space="preserve"> Jissen - 4-nin Mahjong. Four Battle Mahjong</t>
  </si>
  <si>
    <t xml:space="preserve"> Joe Blade</t>
  </si>
  <si>
    <t xml:space="preserve"> Johny Comomolo in 3-2-1 Fire</t>
  </si>
  <si>
    <t xml:space="preserve"> Jony y el Trono del Jaguar</t>
  </si>
  <si>
    <t xml:space="preserve"> Joquei</t>
  </si>
  <si>
    <t xml:space="preserve"> Journey to the Centre of the Earth</t>
  </si>
  <si>
    <t xml:space="preserve"> Juega... Pero Seguro</t>
  </si>
  <si>
    <t xml:space="preserve"> Jumbo </t>
  </si>
  <si>
    <t>WOLFGANG WELL</t>
  </si>
  <si>
    <t xml:space="preserve"> Jump </t>
  </si>
  <si>
    <t xml:space="preserve"> Jump Coaster </t>
  </si>
  <si>
    <t xml:space="preserve"> Jump Jet</t>
  </si>
  <si>
    <t xml:space="preserve"> Jump Land </t>
  </si>
  <si>
    <t xml:space="preserve"> Jumper 2</t>
  </si>
  <si>
    <t>MAGIC CIRCLE</t>
  </si>
  <si>
    <t xml:space="preserve"> Jumping Jack</t>
  </si>
  <si>
    <t xml:space="preserve"> Jumping Rabbit </t>
  </si>
  <si>
    <t xml:space="preserve"> Jungle Jim</t>
  </si>
  <si>
    <t xml:space="preserve"> Jungle Warrior</t>
  </si>
  <si>
    <t xml:space="preserve"> Juno First </t>
  </si>
  <si>
    <t xml:space="preserve"> Jyankyo</t>
  </si>
  <si>
    <t xml:space="preserve"> Kage no Densetsu. Legend of Kage </t>
  </si>
  <si>
    <t xml:space="preserve"> Karamaru (1984)(Hal) </t>
  </si>
  <si>
    <t xml:space="preserve"> Karuizawa Kidnapping Guidance, The</t>
  </si>
  <si>
    <t xml:space="preserve"> Kate II</t>
  </si>
  <si>
    <t>DEPJ SOFT</t>
  </si>
  <si>
    <t xml:space="preserve"> Katmosis Faraon</t>
  </si>
  <si>
    <t>ABC SOFT</t>
  </si>
  <si>
    <t xml:space="preserve"> Ke Rulen los Petas</t>
  </si>
  <si>
    <t xml:space="preserve"> Keiba. The Horse Race </t>
  </si>
  <si>
    <t>CHAMPION SOFT</t>
  </si>
  <si>
    <t xml:space="preserve"> Kenja no Ishi. The Stone of Wisdom</t>
  </si>
  <si>
    <t xml:space="preserve"> Keystone Kapers </t>
  </si>
  <si>
    <t xml:space="preserve"> Khazzad-Dum</t>
  </si>
  <si>
    <t>SPE</t>
  </si>
  <si>
    <t xml:space="preserve"> Kick It</t>
  </si>
  <si>
    <t xml:space="preserve"> Killer Station. Biotech</t>
  </si>
  <si>
    <t xml:space="preserve"> Kinasai</t>
  </si>
  <si>
    <t xml:space="preserve"> King &amp; Balloon</t>
  </si>
  <si>
    <t xml:space="preserve"> King Leonard </t>
  </si>
  <si>
    <t xml:space="preserve"> King's Knight</t>
  </si>
  <si>
    <t xml:space="preserve"> King's Valley</t>
  </si>
  <si>
    <t xml:space="preserve"> King's Valley II - The Seal of El Giza </t>
  </si>
  <si>
    <t xml:space="preserve"> King's Valley Plus</t>
  </si>
  <si>
    <t> King Size</t>
  </si>
  <si>
    <t>ROBTEK</t>
  </si>
  <si>
    <t>CASSETTE</t>
  </si>
  <si>
    <t xml:space="preserve"> Kinnikuman. Colosseum Deathmatch </t>
  </si>
  <si>
    <t xml:space="preserve"> Klaverjassen </t>
  </si>
  <si>
    <t>TIMESOFT</t>
  </si>
  <si>
    <t xml:space="preserve"> Klax </t>
  </si>
  <si>
    <t xml:space="preserve"> Kleiduif</t>
  </si>
  <si>
    <t xml:space="preserve"> Knight Ghost </t>
  </si>
  <si>
    <t xml:space="preserve"> Knight Lore</t>
  </si>
  <si>
    <t xml:space="preserve"> Knight Orc – 1 - Loosed Orc </t>
  </si>
  <si>
    <t xml:space="preserve"> Knight Orc – 2 - A Kind of Magic</t>
  </si>
  <si>
    <t xml:space="preserve"> Knight Orc – 3 - Hordes of the Mountain King </t>
  </si>
  <si>
    <t xml:space="preserve"> Knight Tyme</t>
  </si>
  <si>
    <t xml:space="preserve"> Knightmare. Majyo Densetsu</t>
  </si>
  <si>
    <t xml:space="preserve"> Knightmare II - The Maze of Galious</t>
  </si>
  <si>
    <t xml:space="preserve"> Knightmare III - Shalom </t>
  </si>
  <si>
    <t xml:space="preserve"> Kobashi</t>
  </si>
  <si>
    <t>DESIRE IN ENVY</t>
  </si>
  <si>
    <t xml:space="preserve"> Koji Tanigawa's Shougi Shinan</t>
  </si>
  <si>
    <t xml:space="preserve"> Konami's Baseball </t>
  </si>
  <si>
    <t xml:space="preserve"> Konami's Boxing</t>
  </si>
  <si>
    <t xml:space="preserve"> Konami's Game Master - European Version </t>
  </si>
  <si>
    <t xml:space="preserve"> Konami's Game Master II</t>
  </si>
  <si>
    <t xml:space="preserve"> Konami's Golf</t>
  </si>
  <si>
    <t xml:space="preserve"> Konami's Mahjong Dojo</t>
  </si>
  <si>
    <t xml:space="preserve"> Konami's Ping Pong</t>
  </si>
  <si>
    <t xml:space="preserve"> Konami's Pooyan</t>
  </si>
  <si>
    <t xml:space="preserve"> Konami's Soccer</t>
  </si>
  <si>
    <t xml:space="preserve"> Konami's Tennis</t>
  </si>
  <si>
    <t xml:space="preserve"> Koneko no Daibouken.Kitty's Great Adventure</t>
  </si>
  <si>
    <t xml:space="preserve"> Kong </t>
  </si>
  <si>
    <t xml:space="preserve"> Kong's Revenge</t>
  </si>
  <si>
    <t xml:space="preserve"> Krakout</t>
  </si>
  <si>
    <t xml:space="preserve"> Kralizec 8k Tetris</t>
  </si>
  <si>
    <t>KRALIZEK</t>
  </si>
  <si>
    <t xml:space="preserve"> Kralizec Battle Tetris</t>
  </si>
  <si>
    <t xml:space="preserve"> Krom - El Guerrero Invencible</t>
  </si>
  <si>
    <t xml:space="preserve"> Krypton</t>
  </si>
  <si>
    <t xml:space="preserve"> Kubus</t>
  </si>
  <si>
    <t xml:space="preserve"> Kung Fu Master</t>
  </si>
  <si>
    <t xml:space="preserve"> Kung-Fu Thai Kun. Isao Lord </t>
  </si>
  <si>
    <t xml:space="preserve"> Labboss</t>
  </si>
  <si>
    <t>CLEVERSOFT</t>
  </si>
  <si>
    <t xml:space="preserve"> Laberinto</t>
  </si>
  <si>
    <t xml:space="preserve"> La Corona Encantada</t>
  </si>
  <si>
    <t xml:space="preserve"> Ladder Building </t>
  </si>
  <si>
    <t xml:space="preserve"> Ladron de Pasteles, El</t>
  </si>
  <si>
    <t xml:space="preserve"> Lady Safary </t>
  </si>
  <si>
    <t xml:space="preserve"> Laptick 2 </t>
  </si>
  <si>
    <t xml:space="preserve"> Laser Fight</t>
  </si>
  <si>
    <t>LOGIN SOFTWARE</t>
  </si>
  <si>
    <t xml:space="preserve"> Laser Squad </t>
  </si>
  <si>
    <t>BLADE SOFTWARE</t>
  </si>
  <si>
    <t xml:space="preserve"> Laser Warriors</t>
  </si>
  <si>
    <t xml:space="preserve"> Last Dungeon, The</t>
  </si>
  <si>
    <t>GRUPO DE TRABAJO SOFT</t>
  </si>
  <si>
    <t xml:space="preserve"> Last Mission, The </t>
  </si>
  <si>
    <t xml:space="preserve"> Last War</t>
  </si>
  <si>
    <t>NAGI-P SOFT</t>
  </si>
  <si>
    <t xml:space="preserve"> Last War II</t>
  </si>
  <si>
    <t xml:space="preserve"> Lazer Bykes</t>
  </si>
  <si>
    <t xml:space="preserve"> Lazy Jones </t>
  </si>
  <si>
    <t>TERMINAL SOFTWARE</t>
  </si>
  <si>
    <t xml:space="preserve"> Le Mans</t>
  </si>
  <si>
    <t xml:space="preserve"> Le Mans 2</t>
  </si>
  <si>
    <t xml:space="preserve"> Legend (Clone de Guardic) </t>
  </si>
  <si>
    <t xml:space="preserve"> Legend of Ladra. Radola Fantasia</t>
  </si>
  <si>
    <t xml:space="preserve"> Legendly Knight </t>
  </si>
  <si>
    <t>TOPIA</t>
  </si>
  <si>
    <t xml:space="preserve"> Legends</t>
  </si>
  <si>
    <t xml:space="preserve"> Legends of Star Arthur - Planet Mephius</t>
  </si>
  <si>
    <t xml:space="preserve"> Legion</t>
  </si>
  <si>
    <t xml:space="preserve"> Lenda da Gavea, A</t>
  </si>
  <si>
    <t>STOP INFORMATICA</t>
  </si>
  <si>
    <t xml:space="preserve"> Leucocyt</t>
  </si>
  <si>
    <t xml:space="preserve"> Liberator</t>
  </si>
  <si>
    <t xml:space="preserve"> Life in the Fast Lane </t>
  </si>
  <si>
    <t xml:space="preserve"> Light Corridor, The </t>
  </si>
  <si>
    <t xml:space="preserve"> Limaribu</t>
  </si>
  <si>
    <t>ARNOLD METSELAAR</t>
  </si>
  <si>
    <t xml:space="preserve"> Lives Ball</t>
  </si>
  <si>
    <t xml:space="preserve"> Livingstone Supongo</t>
  </si>
  <si>
    <t xml:space="preserve"> Livingstone Supongo II</t>
  </si>
  <si>
    <t xml:space="preserve"> Lizard</t>
  </si>
  <si>
    <t xml:space="preserve"> Lode Run</t>
  </si>
  <si>
    <t xml:space="preserve"> Lode Runner </t>
  </si>
  <si>
    <t>DOUG SMITH</t>
  </si>
  <si>
    <t>ROM/DISQUETTE</t>
  </si>
  <si>
    <t xml:space="preserve"> Lode Runner II </t>
  </si>
  <si>
    <t xml:space="preserve"> Lonesome Tank</t>
  </si>
  <si>
    <t xml:space="preserve"> Loppan</t>
  </si>
  <si>
    <t>NAG</t>
  </si>
  <si>
    <t xml:space="preserve"> Lord Over</t>
  </si>
  <si>
    <t xml:space="preserve"> Lorna</t>
  </si>
  <si>
    <t xml:space="preserve"> Los Jardines de Zee Wang Zu</t>
  </si>
  <si>
    <t xml:space="preserve"> Lot Lot</t>
  </si>
  <si>
    <t>TECHNOPOLIS SOFT</t>
  </si>
  <si>
    <t xml:space="preserve"> Lotus F3</t>
  </si>
  <si>
    <t>DVIK&amp;JOYREX PROD</t>
  </si>
  <si>
    <t xml:space="preserve"> Lunar Ball (1985)(Pony Canyon) </t>
  </si>
  <si>
    <t xml:space="preserve"> M-47</t>
  </si>
  <si>
    <t xml:space="preserve"> Mac Attack</t>
  </si>
  <si>
    <t xml:space="preserve"> Macadam Bumper </t>
  </si>
  <si>
    <t>ERE INFORMATIQUE</t>
  </si>
  <si>
    <t xml:space="preserve"> Mach 3</t>
  </si>
  <si>
    <t xml:space="preserve"> Machinegun Joe vs the Mafia</t>
  </si>
  <si>
    <t xml:space="preserve"> Macross Countdown</t>
  </si>
  <si>
    <t>BOTHTECH</t>
  </si>
  <si>
    <t xml:space="preserve"> Mad Fox</t>
  </si>
  <si>
    <t xml:space="preserve"> Mad Max</t>
  </si>
  <si>
    <t>BKS</t>
  </si>
  <si>
    <t xml:space="preserve"> Mad Mix 2 - En el Castillo de los Fantasmas</t>
  </si>
  <si>
    <t xml:space="preserve"> Mad Mix Game</t>
  </si>
  <si>
    <t xml:space="preserve"> Made in Spain - 5 Estrellas</t>
  </si>
  <si>
    <t xml:space="preserve"> Magic Johnson's Basketball</t>
  </si>
  <si>
    <t xml:space="preserve"> Magic Pinball </t>
  </si>
  <si>
    <t xml:space="preserve"> Magical Kid Wiz</t>
  </si>
  <si>
    <t xml:space="preserve"> Magical Stones </t>
  </si>
  <si>
    <t xml:space="preserve"> Magical Tree</t>
  </si>
  <si>
    <t xml:space="preserve"> Magnum Critical Moment</t>
  </si>
  <si>
    <t xml:space="preserve"> Major 1. Maliop Nuctorejog</t>
  </si>
  <si>
    <t>CRAZYSOFT</t>
  </si>
  <si>
    <t xml:space="preserve"> Major 2. Nuctorejog Ha Gabone</t>
  </si>
  <si>
    <t xml:space="preserve"> Mahjong Friend</t>
  </si>
  <si>
    <t xml:space="preserve"> Maliop Nuctonetog</t>
  </si>
  <si>
    <t xml:space="preserve"> Malaika Prehistoric Quest</t>
  </si>
  <si>
    <t xml:space="preserve"> Maldicao da Vila Sinistra, A</t>
  </si>
  <si>
    <t xml:space="preserve"> Mambo</t>
  </si>
  <si>
    <t xml:space="preserve"> Manchester United</t>
  </si>
  <si>
    <t>KRISALIS</t>
  </si>
  <si>
    <t xml:space="preserve"> Mandragore</t>
  </si>
  <si>
    <t xml:space="preserve"> Manes </t>
  </si>
  <si>
    <t xml:space="preserve"> Manic Miner</t>
  </si>
  <si>
    <t xml:space="preserve"> Manicomio</t>
  </si>
  <si>
    <t xml:space="preserve"> Mansion, The</t>
  </si>
  <si>
    <t>YERMANI SOFT</t>
  </si>
  <si>
    <t xml:space="preserve"> Map Game</t>
  </si>
  <si>
    <t>ERBE SOFTWARE</t>
  </si>
  <si>
    <t xml:space="preserve"> Mappy </t>
  </si>
  <si>
    <t xml:space="preserve"> Marchen Veil</t>
  </si>
  <si>
    <t>SYSTEM SACOM</t>
  </si>
  <si>
    <t xml:space="preserve"> Marie Celeste</t>
  </si>
  <si>
    <t>EDITORA LUTECIA</t>
  </si>
  <si>
    <t xml:space="preserve"> Marine Battle</t>
  </si>
  <si>
    <t xml:space="preserve"> Mars</t>
  </si>
  <si>
    <t>Nagi-P SOFT</t>
  </si>
  <si>
    <t xml:space="preserve"> Mars II </t>
  </si>
  <si>
    <t xml:space="preserve"> Mars Lander </t>
  </si>
  <si>
    <t xml:space="preserve"> Martianoids </t>
  </si>
  <si>
    <t xml:space="preserve"> Mashou no Yakata Gabalin. Goblin </t>
  </si>
  <si>
    <t xml:space="preserve"> Mask II </t>
  </si>
  <si>
    <t xml:space="preserve"> Mask III - Venom Strikes Back</t>
  </si>
  <si>
    <t xml:space="preserve"> Master Chess</t>
  </si>
  <si>
    <t xml:space="preserve"> Master of the Lamps</t>
  </si>
  <si>
    <t xml:space="preserve"> Masters of the Universe - The Movie </t>
  </si>
  <si>
    <t xml:space="preserve"> Matagal </t>
  </si>
  <si>
    <t>RICARDO KUNTZE</t>
  </si>
  <si>
    <t xml:space="preserve"> Matamarcianos. Batalla Espacial</t>
  </si>
  <si>
    <t xml:space="preserve"> Match Day II</t>
  </si>
  <si>
    <t xml:space="preserve"> Mateo </t>
  </si>
  <si>
    <t xml:space="preserve"> Maths Invaders</t>
  </si>
  <si>
    <t>STELL SOFTWARE</t>
  </si>
  <si>
    <t xml:space="preserve"> Maxima</t>
  </si>
  <si>
    <t xml:space="preserve"> Mayhem</t>
  </si>
  <si>
    <t xml:space="preserve"> Maze Chase</t>
  </si>
  <si>
    <t>AREA 51</t>
  </si>
  <si>
    <t xml:space="preserve"> Maze Master</t>
  </si>
  <si>
    <t xml:space="preserve"> Maze Max</t>
  </si>
  <si>
    <t xml:space="preserve"> Maze of the Black Spider, The</t>
  </si>
  <si>
    <t>EXERIENCE SOFT</t>
  </si>
  <si>
    <t xml:space="preserve"> Mazes Unlimited</t>
  </si>
  <si>
    <t xml:space="preserve"> Maziacs</t>
  </si>
  <si>
    <t xml:space="preserve"> M-Droid</t>
  </si>
  <si>
    <t xml:space="preserve"> Mean Streets</t>
  </si>
  <si>
    <t xml:space="preserve"> Meaning</t>
  </si>
  <si>
    <t>BARQ</t>
  </si>
  <si>
    <t xml:space="preserve"> Meaning of Life </t>
  </si>
  <si>
    <t xml:space="preserve"> Mecano Oasis</t>
  </si>
  <si>
    <t xml:space="preserve"> Mecha Taisen on Planet Oldskool</t>
  </si>
  <si>
    <t>DAMAGE X</t>
  </si>
  <si>
    <t xml:space="preserve"> Mecom</t>
  </si>
  <si>
    <t xml:space="preserve"> Mega Chess</t>
  </si>
  <si>
    <t xml:space="preserve"> Megalopolis SOS</t>
  </si>
  <si>
    <t xml:space="preserve"> Meganova</t>
  </si>
  <si>
    <t xml:space="preserve"> Megaphoenix</t>
  </si>
  <si>
    <t xml:space="preserve"> Meikyuu no Tobira. Gate of Labyrinth</t>
  </si>
  <si>
    <t xml:space="preserve"> Memory – C.04</t>
  </si>
  <si>
    <t>COMPUTER USERS CLUB</t>
  </si>
  <si>
    <t xml:space="preserve"> Menace</t>
  </si>
  <si>
    <t>THE NEW IMAGE</t>
  </si>
  <si>
    <t xml:space="preserve"> Menphis</t>
  </si>
  <si>
    <t>NEMESIS INFORMATICA</t>
  </si>
  <si>
    <t xml:space="preserve"> Merlin </t>
  </si>
  <si>
    <t xml:space="preserve"> Meteoros. Meteors. Meteor Storm</t>
  </si>
  <si>
    <t xml:space="preserve"> Metropolis</t>
  </si>
  <si>
    <t xml:space="preserve"> Meurtres sur l'Atlantique.</t>
  </si>
  <si>
    <t xml:space="preserve"> Michel Futbol Master</t>
  </si>
  <si>
    <t xml:space="preserve"> Micro Man Id-Man</t>
  </si>
  <si>
    <t>MICROS ID</t>
  </si>
  <si>
    <t xml:space="preserve"> Midnight Brothers</t>
  </si>
  <si>
    <t xml:space="preserve"> Midnight Building</t>
  </si>
  <si>
    <t xml:space="preserve"> Mike Gunner</t>
  </si>
  <si>
    <t xml:space="preserve"> Miki Va a Esquiar</t>
  </si>
  <si>
    <t xml:space="preserve"> Milk Race</t>
  </si>
  <si>
    <t xml:space="preserve"> Mina, A</t>
  </si>
  <si>
    <t xml:space="preserve"> Minder</t>
  </si>
  <si>
    <t xml:space="preserve"> Miner Machine</t>
  </si>
  <si>
    <t xml:space="preserve"> Mini Golf</t>
  </si>
  <si>
    <t xml:space="preserve"> Mini-Golf</t>
  </si>
  <si>
    <t xml:space="preserve"> Miraculus</t>
  </si>
  <si>
    <t xml:space="preserve"> Mirai. Future</t>
  </si>
  <si>
    <t xml:space="preserve"> Mision de Combate</t>
  </si>
  <si>
    <t xml:space="preserve"> Mision en Espana</t>
  </si>
  <si>
    <t xml:space="preserve"> Mision Rescate</t>
  </si>
  <si>
    <t xml:space="preserve"> Missile Command</t>
  </si>
  <si>
    <t xml:space="preserve"> Mister Jaws</t>
  </si>
  <si>
    <t xml:space="preserve"> Misterio del Nilo, El</t>
  </si>
  <si>
    <t xml:space="preserve"> Mitsume ga Tooru. The Three-Eyed One Comes Here</t>
  </si>
  <si>
    <t>NATSUME</t>
  </si>
  <si>
    <t xml:space="preserve"> MJ-05</t>
  </si>
  <si>
    <t xml:space="preserve"> Moai no Hihou. Secret Treasure of Moai</t>
  </si>
  <si>
    <t xml:space="preserve"> Mobile Planet Stylus</t>
  </si>
  <si>
    <t xml:space="preserve"> Mobile Suit Gundam </t>
  </si>
  <si>
    <t xml:space="preserve"> Mole</t>
  </si>
  <si>
    <t xml:space="preserve"> Mole Mole </t>
  </si>
  <si>
    <t>CROSSMEDIA SOFT</t>
  </si>
  <si>
    <t xml:space="preserve"> Mole Mole 2 </t>
  </si>
  <si>
    <t xml:space="preserve"> Molecule Man</t>
  </si>
  <si>
    <t xml:space="preserve"> Monkey Academy</t>
  </si>
  <si>
    <t xml:space="preserve"> Monks</t>
  </si>
  <si>
    <t xml:space="preserve"> Monogatari Megami Tensei. Digital Devil Story</t>
  </si>
  <si>
    <t xml:space="preserve"> Monopoly</t>
  </si>
  <si>
    <t xml:space="preserve"> Monster's Fair </t>
  </si>
  <si>
    <t xml:space="preserve"> Monster Hunter</t>
  </si>
  <si>
    <t>NERLASKA STUDIO</t>
  </si>
  <si>
    <t xml:space="preserve"> Moonbase</t>
  </si>
  <si>
    <t xml:space="preserve"> Moon Landing</t>
  </si>
  <si>
    <t xml:space="preserve"> Moon Patrol </t>
  </si>
  <si>
    <t xml:space="preserve"> Moon Race</t>
  </si>
  <si>
    <t xml:space="preserve"> Moon Rider</t>
  </si>
  <si>
    <t xml:space="preserve"> Moonwalker</t>
  </si>
  <si>
    <t xml:space="preserve"> Mopi Ranger </t>
  </si>
  <si>
    <t xml:space="preserve"> Morita Kazurou no Othello</t>
  </si>
  <si>
    <t xml:space="preserve"> Mortadelo y Filemon</t>
  </si>
  <si>
    <t xml:space="preserve"> Mortadelo y Filemon II - Safari Callejero </t>
  </si>
  <si>
    <t xml:space="preserve"> Most Amazing Memory Game, The</t>
  </si>
  <si>
    <t xml:space="preserve"> Mot</t>
  </si>
  <si>
    <t xml:space="preserve"> Motorbike Madness</t>
  </si>
  <si>
    <t xml:space="preserve"> Motorista Sideral, El</t>
  </si>
  <si>
    <t xml:space="preserve"> Mountain Bike Racer</t>
  </si>
  <si>
    <t xml:space="preserve"> Mouse Jump</t>
  </si>
  <si>
    <t xml:space="preserve"> Mouser</t>
  </si>
  <si>
    <t xml:space="preserve"> Mr. Chef &amp; the Sausages </t>
  </si>
  <si>
    <t xml:space="preserve"> Mr. Chin</t>
  </si>
  <si>
    <t xml:space="preserve"> Mr. Do!</t>
  </si>
  <si>
    <t>NIPPON COLUMBIA UNIVERSAL</t>
  </si>
  <si>
    <t xml:space="preserve"> Mr. Do! vs Unicorns</t>
  </si>
  <si>
    <t xml:space="preserve"> Mr. Do's Wildride</t>
  </si>
  <si>
    <t xml:space="preserve"> Mr. Gomoku </t>
  </si>
  <si>
    <t>APPOLO TECHNICA</t>
  </si>
  <si>
    <t xml:space="preserve"> Mr. Mole</t>
  </si>
  <si>
    <t xml:space="preserve"> Mr. Wong's Loopy Laundry</t>
  </si>
  <si>
    <t>SONY SPAIN</t>
  </si>
  <si>
    <t xml:space="preserve"> MSX Baseball</t>
  </si>
  <si>
    <t xml:space="preserve"> MSX Chess Turbo Chess</t>
  </si>
  <si>
    <t>ARTIC COMPUTING</t>
  </si>
  <si>
    <t xml:space="preserve"> MSX Daikoshin. Rompe MSX</t>
  </si>
  <si>
    <t xml:space="preserve"> MSX Derby</t>
  </si>
  <si>
    <t xml:space="preserve"> MSX Pac-4. Cocos</t>
  </si>
  <si>
    <t>AMSTERDAM</t>
  </si>
  <si>
    <t xml:space="preserve"> MSX Panic</t>
  </si>
  <si>
    <t>EOE</t>
  </si>
  <si>
    <t xml:space="preserve"> MSX Rugby</t>
  </si>
  <si>
    <t>PANASOFT</t>
  </si>
  <si>
    <t xml:space="preserve"> MSX Shogi Game </t>
  </si>
  <si>
    <t>ALPHA</t>
  </si>
  <si>
    <t xml:space="preserve"> MSX Soccer</t>
  </si>
  <si>
    <t xml:space="preserve"> MSX-21</t>
  </si>
  <si>
    <t xml:space="preserve"> MSX-FAN Fandom Library 1</t>
  </si>
  <si>
    <t>TOKUMA SHOTEN</t>
  </si>
  <si>
    <t xml:space="preserve"> MSX-FAN Fandom Library 2</t>
  </si>
  <si>
    <t xml:space="preserve"> MSX-FAN Fandom Library 3</t>
  </si>
  <si>
    <t xml:space="preserve"> Multipuzzle </t>
  </si>
  <si>
    <t xml:space="preserve"> Munchy </t>
  </si>
  <si>
    <t>TYPHOON SOFTWARE</t>
  </si>
  <si>
    <t xml:space="preserve"> Mundial de Futbol</t>
  </si>
  <si>
    <t xml:space="preserve"> Mundo Perdido da 3a Dimensao, O</t>
  </si>
  <si>
    <t>GUILHERME DA SILVA</t>
  </si>
  <si>
    <t xml:space="preserve"> Mundo Perdido, El</t>
  </si>
  <si>
    <t xml:space="preserve"> Munsters, The </t>
  </si>
  <si>
    <t>ALTERNATIVE SOFTWARE</t>
  </si>
  <si>
    <t xml:space="preserve"> Musica en Juego I – Solfeo</t>
  </si>
  <si>
    <t xml:space="preserve"> Musica en juego II – Figuras</t>
  </si>
  <si>
    <t>DAI</t>
  </si>
  <si>
    <t xml:space="preserve"> Mutan Zone</t>
  </si>
  <si>
    <t xml:space="preserve"> Mutant Monty</t>
  </si>
  <si>
    <t xml:space="preserve"> Mystery House</t>
  </si>
  <si>
    <t>ARROW SOFT</t>
  </si>
  <si>
    <t xml:space="preserve"> Mystery House II</t>
  </si>
  <si>
    <t xml:space="preserve"> Mystery of the Mu Continent</t>
  </si>
  <si>
    <t xml:space="preserve"> Mystical</t>
  </si>
  <si>
    <t xml:space="preserve"> Mythos</t>
  </si>
  <si>
    <t xml:space="preserve"> Nachtwacht, De</t>
  </si>
  <si>
    <t>RADARSOFT</t>
  </si>
  <si>
    <t xml:space="preserve"> Namake's Bridgedrome</t>
  </si>
  <si>
    <t>BURESTO FAIYA</t>
  </si>
  <si>
    <t xml:space="preserve"> Narco Police</t>
  </si>
  <si>
    <t xml:space="preserve"> Nausicaa </t>
  </si>
  <si>
    <t xml:space="preserve"> Navy Moves</t>
  </si>
  <si>
    <t xml:space="preserve"> Nebula Wars</t>
  </si>
  <si>
    <t>JUAN CARLOS ENRIQUE</t>
  </si>
  <si>
    <t xml:space="preserve"> Netsu sen kousien. Exciting Baseball</t>
  </si>
  <si>
    <t xml:space="preserve"> New Bubble Bobble. Boggle Boggle</t>
  </si>
  <si>
    <t xml:space="preserve"> Nibbles MSX</t>
  </si>
  <si>
    <t>STEFANO FRONTEDDU</t>
  </si>
  <si>
    <t xml:space="preserve"> Nick Neaker</t>
  </si>
  <si>
    <t xml:space="preserve"> Night City</t>
  </si>
  <si>
    <t>GERMAN GOMEZ HERRERA</t>
  </si>
  <si>
    <t xml:space="preserve"> Night Driver</t>
  </si>
  <si>
    <t xml:space="preserve"> Night Flight</t>
  </si>
  <si>
    <t xml:space="preserve"> Nightshade</t>
  </si>
  <si>
    <t xml:space="preserve"> Ningyo Densetsu. Fathom</t>
  </si>
  <si>
    <t xml:space="preserve"> Ninja Jaja Maru Kun</t>
  </si>
  <si>
    <t>NIPPON DEXTER</t>
  </si>
  <si>
    <t xml:space="preserve"> Ninja Kun </t>
  </si>
  <si>
    <t xml:space="preserve"> Ninja Kun. Magic Castle Adventure </t>
  </si>
  <si>
    <t xml:space="preserve"> Ninja Princess</t>
  </si>
  <si>
    <t xml:space="preserve"> Ninjya Kage</t>
  </si>
  <si>
    <t>HUDSON SOFT/ASCII</t>
  </si>
  <si>
    <t xml:space="preserve"> Nobunaga no Yabou - Zenkoku Han </t>
  </si>
  <si>
    <t xml:space="preserve"> Nonamed </t>
  </si>
  <si>
    <t xml:space="preserve"> Norseman</t>
  </si>
  <si>
    <t xml:space="preserve"> North &amp; South</t>
  </si>
  <si>
    <t xml:space="preserve"> North Sea Bullion Adventure</t>
  </si>
  <si>
    <t xml:space="preserve"> Northsea Helicopter</t>
  </si>
  <si>
    <t xml:space="preserve"> Noughts &amp; Crosses</t>
  </si>
  <si>
    <t xml:space="preserve"> Nuclear Bowls</t>
  </si>
  <si>
    <t xml:space="preserve"> Number Painter</t>
  </si>
  <si>
    <t>ASK</t>
  </si>
  <si>
    <t xml:space="preserve"> Numero Fantasma, El</t>
  </si>
  <si>
    <t xml:space="preserve"> Nuts &amp; Milk</t>
  </si>
  <si>
    <t xml:space="preserve"> Nyan Nyan Pro Wrestling</t>
  </si>
  <si>
    <t xml:space="preserve"> Nyorols </t>
  </si>
  <si>
    <t xml:space="preserve"> Obliterator </t>
  </si>
  <si>
    <t xml:space="preserve"> Ocean Conqueror</t>
  </si>
  <si>
    <t xml:space="preserve"> Octagon Squad</t>
  </si>
  <si>
    <t xml:space="preserve"> Ogro, O - A Mansao dos Ogros Monstros</t>
  </si>
  <si>
    <t xml:space="preserve"> Oh Mummy!! </t>
  </si>
  <si>
    <t xml:space="preserve"> Oh No!</t>
  </si>
  <si>
    <t xml:space="preserve"> Oh Shit!</t>
  </si>
  <si>
    <t xml:space="preserve"> Oil's Well</t>
  </si>
  <si>
    <t xml:space="preserve"> Ole!</t>
  </si>
  <si>
    <t xml:space="preserve"> O'Mac Farmer </t>
  </si>
  <si>
    <t xml:space="preserve"> Operation Havoc</t>
  </si>
  <si>
    <t>TRAPOSOFT</t>
  </si>
  <si>
    <t xml:space="preserve"> Operation Wolf</t>
  </si>
  <si>
    <t>TOYBOX</t>
  </si>
  <si>
    <t xml:space="preserve"> Ormuz</t>
  </si>
  <si>
    <t xml:space="preserve"> Ortografia I – Vocabulario</t>
  </si>
  <si>
    <t xml:space="preserve"> Ortografia II – Verbos</t>
  </si>
  <si>
    <t xml:space="preserve"> Ortografia III – Frases</t>
  </si>
  <si>
    <t xml:space="preserve"> Othello</t>
  </si>
  <si>
    <t xml:space="preserve"> Othello Competicao</t>
  </si>
  <si>
    <t xml:space="preserve"> Ougon no Haka. Golden Grave. Mystery of Egypt</t>
  </si>
  <si>
    <t>MAGICAL ZOO</t>
  </si>
  <si>
    <t> Out Run</t>
  </si>
  <si>
    <t xml:space="preserve"> Outland</t>
  </si>
  <si>
    <t xml:space="preserve"> Outroyd</t>
  </si>
  <si>
    <t xml:space="preserve"> Oyoide Tango</t>
  </si>
  <si>
    <t xml:space="preserve"> Pachicom</t>
  </si>
  <si>
    <t xml:space="preserve"> Pachinko – U.F.O.</t>
  </si>
  <si>
    <t xml:space="preserve"> Pac-Land</t>
  </si>
  <si>
    <t xml:space="preserve"> Pac-Man</t>
  </si>
  <si>
    <t xml:space="preserve"> Pac-Mania ?</t>
  </si>
  <si>
    <t xml:space="preserve"> Pac-Maniac</t>
  </si>
  <si>
    <t xml:space="preserve"> Pai Panic</t>
  </si>
  <si>
    <t xml:space="preserve"> Pair Logic</t>
  </si>
  <si>
    <t xml:space="preserve"> Pairs</t>
  </si>
  <si>
    <t xml:space="preserve"> Paises de Africa</t>
  </si>
  <si>
    <t xml:space="preserve"> Paises de America</t>
  </si>
  <si>
    <t xml:space="preserve"> Paises de Asia</t>
  </si>
  <si>
    <t xml:space="preserve"> Paises de Europa</t>
  </si>
  <si>
    <t> Panel Panic</t>
  </si>
  <si>
    <t xml:space="preserve"> Panic Junction</t>
  </si>
  <si>
    <t>MORWOOD SOFTWARE</t>
  </si>
  <si>
    <t xml:space="preserve"> Panico en el Bel-Air </t>
  </si>
  <si>
    <t>JVC-MM2</t>
  </si>
  <si>
    <t xml:space="preserve"> Panique</t>
  </si>
  <si>
    <t xml:space="preserve"> Panther</t>
  </si>
  <si>
    <t xml:space="preserve"> Panzer Attack </t>
  </si>
  <si>
    <t>MC LOTHLORIEN</t>
  </si>
  <si>
    <t xml:space="preserve"> Parachuteless Joe </t>
  </si>
  <si>
    <t xml:space="preserve"> Paris-Dakar </t>
  </si>
  <si>
    <t>MADE IN SPAIN</t>
  </si>
  <si>
    <t xml:space="preserve"> Parodius - Tako Saves Earth </t>
  </si>
  <si>
    <t xml:space="preserve"> Pass Ball </t>
  </si>
  <si>
    <t xml:space="preserve"> Passing Shot</t>
  </si>
  <si>
    <t xml:space="preserve"> Pasteman Pat - Billboard </t>
  </si>
  <si>
    <t>FIREBIRD SOFTWARE</t>
  </si>
  <si>
    <t xml:space="preserve"> Pastfinder</t>
  </si>
  <si>
    <t xml:space="preserve"> Patagoras los gases</t>
  </si>
  <si>
    <t xml:space="preserve"> Patibulo </t>
  </si>
  <si>
    <t xml:space="preserve"> Patience</t>
  </si>
  <si>
    <t xml:space="preserve"> Patrullera XH-63 </t>
  </si>
  <si>
    <t xml:space="preserve"> Payaso Explorador, El</t>
  </si>
  <si>
    <t xml:space="preserve"> Payload</t>
  </si>
  <si>
    <t xml:space="preserve"> Peek-a-boo</t>
  </si>
  <si>
    <t xml:space="preserve"> Peetan</t>
  </si>
  <si>
    <t xml:space="preserve"> Pegasus</t>
  </si>
  <si>
    <t xml:space="preserve"> Pelota Vasca </t>
  </si>
  <si>
    <t xml:space="preserve"> Penguin</t>
  </si>
  <si>
    <t xml:space="preserve"> Penguin Adventure </t>
  </si>
  <si>
    <t xml:space="preserve"> Penguin Cafe</t>
  </si>
  <si>
    <t>MSXOSAURE &amp; JIPE</t>
  </si>
  <si>
    <t xml:space="preserve"> Penguin Crown, The</t>
  </si>
  <si>
    <t xml:space="preserve"> Penguin Mind</t>
  </si>
  <si>
    <t xml:space="preserve"> Penguin Race </t>
  </si>
  <si>
    <t xml:space="preserve"> Penguin Wars </t>
  </si>
  <si>
    <t xml:space="preserve"> Pentagram</t>
  </si>
  <si>
    <t xml:space="preserve"> Pepe Saltarin</t>
  </si>
  <si>
    <t xml:space="preserve"> Perico Delgado Maillot Amarillo</t>
  </si>
  <si>
    <t xml:space="preserve"> Pescador Espacial, El</t>
  </si>
  <si>
    <t xml:space="preserve"> Peter Beardsley's International Football </t>
  </si>
  <si>
    <t xml:space="preserve"> Phantis </t>
  </si>
  <si>
    <t xml:space="preserve"> Phantomas 2 – Vampire</t>
  </si>
  <si>
    <t xml:space="preserve"> Pharaoh's Revenge </t>
  </si>
  <si>
    <t xml:space="preserve"> Pico Pico </t>
  </si>
  <si>
    <t xml:space="preserve"> Picture Puzzle </t>
  </si>
  <si>
    <t xml:space="preserve"> Picture Puzzle v2  </t>
  </si>
  <si>
    <t xml:space="preserve"> Pinball Blaster </t>
  </si>
  <si>
    <t xml:space="preserve"> Pinball Maker. Ball Blitz</t>
  </si>
  <si>
    <t xml:space="preserve"> Pine Applin </t>
  </si>
  <si>
    <t xml:space="preserve"> Pinguino</t>
  </si>
  <si>
    <t xml:space="preserve"> Pink Panther </t>
  </si>
  <si>
    <t>MAGIC BYTES</t>
  </si>
  <si>
    <t xml:space="preserve"> Pinky Chase </t>
  </si>
  <si>
    <t xml:space="preserve"> Pipeline</t>
  </si>
  <si>
    <t xml:space="preserve"> Pipi</t>
  </si>
  <si>
    <t xml:space="preserve"> Pippols</t>
  </si>
  <si>
    <t xml:space="preserve"> Piso Zero</t>
  </si>
  <si>
    <t xml:space="preserve"> Pitfall</t>
  </si>
  <si>
    <t xml:space="preserve"> Pitfall 2 </t>
  </si>
  <si>
    <t xml:space="preserve"> Pitman 2 </t>
  </si>
  <si>
    <t xml:space="preserve"> Pizarra </t>
  </si>
  <si>
    <t xml:space="preserve"> Planet Earth</t>
  </si>
  <si>
    <t xml:space="preserve"> Platoon</t>
  </si>
  <si>
    <t>OBA SOFT</t>
  </si>
  <si>
    <t xml:space="preserve"> Play Ball</t>
  </si>
  <si>
    <t xml:space="preserve"> Playhouse Strippoker</t>
  </si>
  <si>
    <t xml:space="preserve"> Plumber</t>
  </si>
  <si>
    <t xml:space="preserve"> Poder Oscuro, El </t>
  </si>
  <si>
    <t xml:space="preserve"> Pointless Drive </t>
  </si>
  <si>
    <t>BOBAMU</t>
  </si>
  <si>
    <t xml:space="preserve"> Pointless Platform</t>
  </si>
  <si>
    <t xml:space="preserve"> Pointless Shooting</t>
  </si>
  <si>
    <t xml:space="preserve"> Point X Senryo Sakusen - Operation Thanksgiving</t>
  </si>
  <si>
    <t>VICTOR</t>
  </si>
  <si>
    <t xml:space="preserve"> Poker2 </t>
  </si>
  <si>
    <t xml:space="preserve"> Poker5</t>
  </si>
  <si>
    <t>JOSEPH PAUMIER</t>
  </si>
  <si>
    <t xml:space="preserve"> Polar Star</t>
  </si>
  <si>
    <t xml:space="preserve"> Polaris</t>
  </si>
  <si>
    <t xml:space="preserve"> Poli Diaz </t>
  </si>
  <si>
    <t xml:space="preserve"> Police Academy</t>
  </si>
  <si>
    <t xml:space="preserve"> Police Academy II</t>
  </si>
  <si>
    <t>K7/ROM/DISQUETTE</t>
  </si>
  <si>
    <t xml:space="preserve"> Police Story, The </t>
  </si>
  <si>
    <t xml:space="preserve"> Pongo</t>
  </si>
  <si>
    <t xml:space="preserve"> Poogaboo</t>
  </si>
  <si>
    <t xml:space="preserve"> Popcummi</t>
  </si>
  <si>
    <t xml:space="preserve"> Poppaq the Fish </t>
  </si>
  <si>
    <t xml:space="preserve"> Popular Cyclops</t>
  </si>
  <si>
    <t>SILVA SOFT</t>
  </si>
  <si>
    <t xml:space="preserve"> Post Mortem </t>
  </si>
  <si>
    <t xml:space="preserve"> Power and Magic</t>
  </si>
  <si>
    <t xml:space="preserve"> Power Drift </t>
  </si>
  <si>
    <t xml:space="preserve"> Principe y el Dragon, El</t>
  </si>
  <si>
    <t xml:space="preserve"> Profesion Detective </t>
  </si>
  <si>
    <t xml:space="preserve"> Professional Baseball</t>
  </si>
  <si>
    <t xml:space="preserve"> Professional Baseball Super Simulation</t>
  </si>
  <si>
    <t xml:space="preserve"> Professional Mahjong v2.2</t>
  </si>
  <si>
    <t>CHATNOIR</t>
  </si>
  <si>
    <t xml:space="preserve"> Professional Snooker Simulator </t>
  </si>
  <si>
    <t xml:space="preserve"> Profissao Perigo</t>
  </si>
  <si>
    <t xml:space="preserve"> Project A</t>
  </si>
  <si>
    <t xml:space="preserve"> Protector, The </t>
  </si>
  <si>
    <t xml:space="preserve"> Psycho Pig U.X.B. </t>
  </si>
  <si>
    <t xml:space="preserve"> Puddles - Exercices avec Formes</t>
  </si>
  <si>
    <t xml:space="preserve"> Punchy – Punch and Judy </t>
  </si>
  <si>
    <t xml:space="preserve"> Puzzle Panic</t>
  </si>
  <si>
    <t xml:space="preserve"> PWND</t>
  </si>
  <si>
    <t>METAL SOFT</t>
  </si>
  <si>
    <t xml:space="preserve"> Pyramid Quest</t>
  </si>
  <si>
    <t xml:space="preserve"> Pyramid Warp</t>
  </si>
  <si>
    <t xml:space="preserve"> Pyro-Man</t>
  </si>
  <si>
    <t xml:space="preserve"> Q-Bert</t>
  </si>
  <si>
    <t xml:space="preserve"> Quasar</t>
  </si>
  <si>
    <t xml:space="preserve"> Queen's Golf </t>
  </si>
  <si>
    <t xml:space="preserve"> Queen's Golf Joy Pack</t>
  </si>
  <si>
    <t xml:space="preserve"> Quickie</t>
  </si>
  <si>
    <t xml:space="preserve"> R.A.M. </t>
  </si>
  <si>
    <t xml:space="preserve"> Race City</t>
  </si>
  <si>
    <t xml:space="preserve"> Race in the Wilds</t>
  </si>
  <si>
    <t>GRIVESOFT</t>
  </si>
  <si>
    <t xml:space="preserve"> Radar</t>
  </si>
  <si>
    <t xml:space="preserve"> Raid on Bungeling Bay</t>
  </si>
  <si>
    <t xml:space="preserve"> Railway</t>
  </si>
  <si>
    <t xml:space="preserve"> Rally-X</t>
  </si>
  <si>
    <t xml:space="preserve"> Rambo - First Blood Part II </t>
  </si>
  <si>
    <t>DAVIDE &amp; GUIDE FAVARO</t>
  </si>
  <si>
    <t xml:space="preserve"> Rambo </t>
  </si>
  <si>
    <t>PACK IN VIDEO</t>
  </si>
  <si>
    <t xml:space="preserve"> Rambo III</t>
  </si>
  <si>
    <t xml:space="preserve"> Rampart, The</t>
  </si>
  <si>
    <t xml:space="preserve"> Rasterscan</t>
  </si>
  <si>
    <t xml:space="preserve"> Rath-Tha </t>
  </si>
  <si>
    <t xml:space="preserve"> Real Tennis</t>
  </si>
  <si>
    <t>TAKARA</t>
  </si>
  <si>
    <t xml:space="preserve"> Red Zone</t>
  </si>
  <si>
    <t>YELLOW HORN</t>
  </si>
  <si>
    <t xml:space="preserve"> Reflex</t>
  </si>
  <si>
    <t xml:space="preserve"> Relics</t>
  </si>
  <si>
    <t xml:space="preserve"> Renju &amp; Ojama Dogs</t>
  </si>
  <si>
    <t xml:space="preserve"> Rescate Atlantida</t>
  </si>
  <si>
    <t xml:space="preserve"> Rescate en el Golfo</t>
  </si>
  <si>
    <t xml:space="preserve"> Retaliot</t>
  </si>
  <si>
    <t>MADONNA MK2</t>
  </si>
  <si>
    <t xml:space="preserve"> Retour du Jedi, Le</t>
  </si>
  <si>
    <t>THIERRY PARISY</t>
  </si>
  <si>
    <t xml:space="preserve"> Reversi Challenger</t>
  </si>
  <si>
    <t>ROLAND MORLA</t>
  </si>
  <si>
    <t xml:space="preserve"> Rex Hard</t>
  </si>
  <si>
    <t>MISTER CHIP</t>
  </si>
  <si>
    <t xml:space="preserve"> Rise Out from Dungeons</t>
  </si>
  <si>
    <t xml:space="preserve"> Risky Holding</t>
  </si>
  <si>
    <t xml:space="preserve"> River Raid </t>
  </si>
  <si>
    <t xml:space="preserve"> RNFF</t>
  </si>
  <si>
    <t>INFINITE</t>
  </si>
  <si>
    <t xml:space="preserve"> Road Fighter</t>
  </si>
  <si>
    <t xml:space="preserve"> Road Wars</t>
  </si>
  <si>
    <t xml:space="preserve"> Robocop</t>
  </si>
  <si>
    <t xml:space="preserve"> Robofrog</t>
  </si>
  <si>
    <t xml:space="preserve"> Robot Wars</t>
  </si>
  <si>
    <t xml:space="preserve"> Robowres 2001</t>
  </si>
  <si>
    <t xml:space="preserve"> Roboy</t>
  </si>
  <si>
    <t xml:space="preserve"> Rock 'n Bolt</t>
  </si>
  <si>
    <t xml:space="preserve"> Rock 'n Roller</t>
  </si>
  <si>
    <t xml:space="preserve"> Rocket Roger</t>
  </si>
  <si>
    <t xml:space="preserve"> Rocks &amp; Snakes</t>
  </si>
  <si>
    <t>JOHANNESSON</t>
  </si>
  <si>
    <t xml:space="preserve"> Rocky </t>
  </si>
  <si>
    <t xml:space="preserve"> Roger Rubbish </t>
  </si>
  <si>
    <t xml:space="preserve"> Roller</t>
  </si>
  <si>
    <t xml:space="preserve"> Roller Ball</t>
  </si>
  <si>
    <t xml:space="preserve"> Roma - La Conquista del Imperio </t>
  </si>
  <si>
    <t xml:space="preserve"> Rotors </t>
  </si>
  <si>
    <t xml:space="preserve"> Rough Road</t>
  </si>
  <si>
    <t xml:space="preserve"> R-Type</t>
  </si>
  <si>
    <t xml:space="preserve"> Runner</t>
  </si>
  <si>
    <t xml:space="preserve"> Running Man, The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</si>
</sst>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\ [$€-40C];[RED]\-#,##0.00\ [$€-40C]"/>
  </numFmts>
  <fonts count="15">
    <font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vertAlign val="superscript"/>
      <sz val="10"/>
      <color indexed="8"/>
      <name val="Arial"/>
      <family val="2"/>
    </font>
    <font>
      <sz val="9.5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color indexed="8"/>
      <name val="Arial"/>
      <family val="2"/>
    </font>
    <font>
      <u val="single"/>
      <sz val="10"/>
      <color indexed="18"/>
      <name val="Arial"/>
      <family val="2"/>
    </font>
    <font>
      <sz val="10"/>
      <color indexed="18"/>
      <name val="Arial"/>
      <family val="2"/>
    </font>
    <font>
      <b/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148">
    <xf numFmtId="164" fontId="0" fillId="0" borderId="0" xfId="0" applyAlignment="1">
      <alignment/>
    </xf>
    <xf numFmtId="164" fontId="0" fillId="0" borderId="1" xfId="0" applyBorder="1" applyAlignment="1">
      <alignment vertical="center"/>
    </xf>
    <xf numFmtId="164" fontId="0" fillId="0" borderId="1" xfId="0" applyBorder="1" applyAlignment="1">
      <alignment horizontal="center" vertical="center"/>
    </xf>
    <xf numFmtId="164" fontId="0" fillId="0" borderId="1" xfId="0" applyBorder="1" applyAlignment="1" applyProtection="1">
      <alignment horizontal="center" vertical="center"/>
      <protection locked="0"/>
    </xf>
    <xf numFmtId="164" fontId="1" fillId="2" borderId="2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 applyProtection="1">
      <alignment horizontal="center" vertical="center"/>
      <protection locked="0"/>
    </xf>
    <xf numFmtId="164" fontId="0" fillId="0" borderId="0" xfId="0" applyAlignment="1">
      <alignment vertical="center"/>
    </xf>
    <xf numFmtId="165" fontId="3" fillId="3" borderId="2" xfId="20" applyNumberFormat="1" applyFont="1" applyFill="1" applyBorder="1" applyAlignment="1" applyProtection="1">
      <alignment vertical="center"/>
      <protection locked="0"/>
    </xf>
    <xf numFmtId="164" fontId="0" fillId="3" borderId="2" xfId="0" applyFill="1" applyBorder="1" applyAlignment="1">
      <alignment horizontal="center" vertical="center"/>
    </xf>
    <xf numFmtId="164" fontId="0" fillId="3" borderId="2" xfId="0" applyFont="1" applyFill="1" applyBorder="1" applyAlignment="1" applyProtection="1">
      <alignment horizontal="center" vertical="center"/>
      <protection locked="0"/>
    </xf>
    <xf numFmtId="165" fontId="3" fillId="3" borderId="2" xfId="20" applyNumberFormat="1" applyFont="1" applyFill="1" applyBorder="1" applyAlignment="1" applyProtection="1">
      <alignment vertical="center"/>
      <protection/>
    </xf>
    <xf numFmtId="165" fontId="3" fillId="4" borderId="2" xfId="20" applyNumberFormat="1" applyFont="1" applyFill="1" applyBorder="1" applyAlignment="1" applyProtection="1">
      <alignment vertical="center"/>
      <protection/>
    </xf>
    <xf numFmtId="164" fontId="0" fillId="4" borderId="2" xfId="0" applyFill="1" applyBorder="1" applyAlignment="1">
      <alignment horizontal="center" vertical="center"/>
    </xf>
    <xf numFmtId="164" fontId="0" fillId="4" borderId="2" xfId="0" applyFont="1" applyFill="1" applyBorder="1" applyAlignment="1" applyProtection="1">
      <alignment horizontal="center" vertical="center"/>
      <protection locked="0"/>
    </xf>
    <xf numFmtId="165" fontId="3" fillId="4" borderId="2" xfId="20" applyNumberFormat="1" applyFont="1" applyFill="1" applyBorder="1" applyAlignment="1" applyProtection="1">
      <alignment vertical="center" wrapText="1"/>
      <protection/>
    </xf>
    <xf numFmtId="165" fontId="3" fillId="3" borderId="2" xfId="20" applyNumberFormat="1" applyFont="1" applyFill="1" applyBorder="1" applyAlignment="1" applyProtection="1">
      <alignment vertical="center" wrapText="1"/>
      <protection/>
    </xf>
    <xf numFmtId="165" fontId="0" fillId="5" borderId="2" xfId="0" applyNumberFormat="1" applyFont="1" applyFill="1" applyBorder="1" applyAlignment="1">
      <alignment/>
    </xf>
    <xf numFmtId="164" fontId="0" fillId="5" borderId="2" xfId="0" applyFill="1" applyBorder="1" applyAlignment="1">
      <alignment horizontal="center" vertical="center"/>
    </xf>
    <xf numFmtId="164" fontId="0" fillId="5" borderId="2" xfId="0" applyFont="1" applyFill="1" applyBorder="1" applyAlignment="1" applyProtection="1">
      <alignment horizontal="center" vertical="center"/>
      <protection locked="0"/>
    </xf>
    <xf numFmtId="164" fontId="6" fillId="4" borderId="2" xfId="0" applyFont="1" applyFill="1" applyBorder="1" applyAlignment="1">
      <alignment horizontal="center" vertical="center"/>
    </xf>
    <xf numFmtId="165" fontId="0" fillId="3" borderId="2" xfId="0" applyNumberFormat="1" applyFont="1" applyFill="1" applyBorder="1" applyAlignment="1">
      <alignment vertical="center"/>
    </xf>
    <xf numFmtId="165" fontId="0" fillId="3" borderId="2" xfId="0" applyNumberFormat="1" applyFont="1" applyFill="1" applyBorder="1" applyAlignment="1">
      <alignment horizontal="center" vertical="center"/>
    </xf>
    <xf numFmtId="165" fontId="0" fillId="4" borderId="2" xfId="0" applyNumberFormat="1" applyFont="1" applyFill="1" applyBorder="1" applyAlignment="1">
      <alignment vertical="center" wrapText="1"/>
    </xf>
    <xf numFmtId="165" fontId="0" fillId="4" borderId="2" xfId="0" applyNumberFormat="1" applyFont="1" applyFill="1" applyBorder="1" applyAlignment="1">
      <alignment horizontal="center" vertical="center" wrapText="1"/>
    </xf>
    <xf numFmtId="164" fontId="6" fillId="3" borderId="2" xfId="0" applyFont="1" applyFill="1" applyBorder="1" applyAlignment="1">
      <alignment horizontal="center" vertical="center"/>
    </xf>
    <xf numFmtId="164" fontId="7" fillId="3" borderId="2" xfId="0" applyFont="1" applyFill="1" applyBorder="1" applyAlignment="1" applyProtection="1">
      <alignment horizontal="center" vertical="center"/>
      <protection locked="0"/>
    </xf>
    <xf numFmtId="165" fontId="4" fillId="4" borderId="2" xfId="20" applyNumberFormat="1" applyFont="1" applyFill="1" applyBorder="1" applyAlignment="1" applyProtection="1">
      <alignment vertical="center"/>
      <protection/>
    </xf>
    <xf numFmtId="164" fontId="0" fillId="3" borderId="2" xfId="0" applyNumberFormat="1" applyFont="1" applyFill="1" applyBorder="1" applyAlignment="1">
      <alignment vertical="center" wrapText="1"/>
    </xf>
    <xf numFmtId="165" fontId="0" fillId="4" borderId="2" xfId="0" applyNumberFormat="1" applyFont="1" applyFill="1" applyBorder="1" applyAlignment="1">
      <alignment vertical="center"/>
    </xf>
    <xf numFmtId="165" fontId="0" fillId="4" borderId="2" xfId="0" applyNumberFormat="1" applyFont="1" applyFill="1" applyBorder="1" applyAlignment="1">
      <alignment horizontal="center" vertical="center"/>
    </xf>
    <xf numFmtId="165" fontId="4" fillId="3" borderId="2" xfId="20" applyNumberFormat="1" applyFont="1" applyFill="1" applyBorder="1" applyAlignment="1" applyProtection="1">
      <alignment vertical="center"/>
      <protection/>
    </xf>
    <xf numFmtId="165" fontId="8" fillId="3" borderId="2" xfId="20" applyNumberFormat="1" applyFont="1" applyFill="1" applyBorder="1" applyAlignment="1" applyProtection="1">
      <alignment vertical="center"/>
      <protection/>
    </xf>
    <xf numFmtId="165" fontId="4" fillId="4" borderId="2" xfId="20" applyNumberFormat="1" applyFont="1" applyFill="1" applyBorder="1" applyAlignment="1" applyProtection="1">
      <alignment/>
      <protection/>
    </xf>
    <xf numFmtId="165" fontId="4" fillId="4" borderId="2" xfId="20" applyNumberFormat="1" applyFont="1" applyFill="1" applyBorder="1" applyAlignment="1" applyProtection="1">
      <alignment wrapText="1"/>
      <protection/>
    </xf>
    <xf numFmtId="165" fontId="3" fillId="3" borderId="2" xfId="20" applyNumberFormat="1" applyFont="1" applyFill="1" applyBorder="1" applyAlignment="1" applyProtection="1">
      <alignment wrapText="1"/>
      <protection/>
    </xf>
    <xf numFmtId="165" fontId="0" fillId="4" borderId="2" xfId="0" applyNumberFormat="1" applyFont="1" applyFill="1" applyBorder="1" applyAlignment="1">
      <alignment/>
    </xf>
    <xf numFmtId="165" fontId="3" fillId="3" borderId="2" xfId="20" applyNumberFormat="1" applyFont="1" applyFill="1" applyBorder="1" applyAlignment="1" applyProtection="1">
      <alignment/>
      <protection/>
    </xf>
    <xf numFmtId="165" fontId="0" fillId="3" borderId="2" xfId="0" applyNumberFormat="1" applyFont="1" applyFill="1" applyBorder="1" applyAlignment="1">
      <alignment/>
    </xf>
    <xf numFmtId="165" fontId="0" fillId="3" borderId="2" xfId="0" applyNumberFormat="1" applyFont="1" applyFill="1" applyBorder="1" applyAlignment="1">
      <alignment horizontal="center"/>
    </xf>
    <xf numFmtId="165" fontId="3" fillId="4" borderId="2" xfId="20" applyNumberFormat="1" applyFont="1" applyFill="1" applyBorder="1" applyAlignment="1" applyProtection="1">
      <alignment wrapText="1"/>
      <protection/>
    </xf>
    <xf numFmtId="164" fontId="6" fillId="3" borderId="2" xfId="0" applyFont="1" applyFill="1" applyBorder="1" applyAlignment="1" applyProtection="1">
      <alignment horizontal="center" vertical="center"/>
      <protection locked="0"/>
    </xf>
    <xf numFmtId="165" fontId="3" fillId="4" borderId="2" xfId="20" applyNumberFormat="1" applyFont="1" applyFill="1" applyBorder="1" applyAlignment="1" applyProtection="1">
      <alignment/>
      <protection/>
    </xf>
    <xf numFmtId="164" fontId="6" fillId="4" borderId="2" xfId="0" applyFont="1" applyFill="1" applyBorder="1" applyAlignment="1" applyProtection="1">
      <alignment horizontal="center" vertical="center"/>
      <protection locked="0"/>
    </xf>
    <xf numFmtId="164" fontId="9" fillId="3" borderId="2" xfId="0" applyFont="1" applyFill="1" applyBorder="1" applyAlignment="1" applyProtection="1">
      <alignment horizontal="center" vertical="center"/>
      <protection locked="0"/>
    </xf>
    <xf numFmtId="164" fontId="9" fillId="4" borderId="2" xfId="0" applyFont="1" applyFill="1" applyBorder="1" applyAlignment="1">
      <alignment horizontal="center" vertical="center"/>
    </xf>
    <xf numFmtId="164" fontId="10" fillId="4" borderId="2" xfId="0" applyFont="1" applyFill="1" applyBorder="1" applyAlignment="1">
      <alignment horizontal="center" vertical="center"/>
    </xf>
    <xf numFmtId="164" fontId="0" fillId="3" borderId="2" xfId="0" applyFont="1" applyFill="1" applyBorder="1" applyAlignment="1">
      <alignment horizontal="center" vertical="center"/>
    </xf>
    <xf numFmtId="164" fontId="9" fillId="3" borderId="2" xfId="0" applyFont="1" applyFill="1" applyBorder="1" applyAlignment="1">
      <alignment horizontal="center" vertical="center"/>
    </xf>
    <xf numFmtId="165" fontId="0" fillId="4" borderId="2" xfId="0" applyNumberFormat="1" applyFont="1" applyFill="1" applyBorder="1" applyAlignment="1">
      <alignment wrapText="1"/>
    </xf>
    <xf numFmtId="165" fontId="11" fillId="4" borderId="2" xfId="20" applyNumberFormat="1" applyFont="1" applyFill="1" applyBorder="1" applyAlignment="1" applyProtection="1">
      <alignment/>
      <protection/>
    </xf>
    <xf numFmtId="165" fontId="0" fillId="6" borderId="2" xfId="0" applyNumberFormat="1" applyFont="1" applyFill="1" applyBorder="1" applyAlignment="1">
      <alignment/>
    </xf>
    <xf numFmtId="165" fontId="0" fillId="6" borderId="2" xfId="0" applyNumberFormat="1" applyFont="1" applyFill="1" applyBorder="1" applyAlignment="1">
      <alignment horizontal="center"/>
    </xf>
    <xf numFmtId="164" fontId="0" fillId="6" borderId="2" xfId="0" applyFont="1" applyFill="1" applyBorder="1" applyAlignment="1">
      <alignment horizontal="center" vertical="center"/>
    </xf>
    <xf numFmtId="164" fontId="0" fillId="6" borderId="2" xfId="0" applyFont="1" applyFill="1" applyBorder="1" applyAlignment="1" applyProtection="1">
      <alignment horizontal="center" vertical="center"/>
      <protection locked="0"/>
    </xf>
    <xf numFmtId="165" fontId="3" fillId="5" borderId="2" xfId="20" applyNumberFormat="1" applyFont="1" applyFill="1" applyBorder="1" applyAlignment="1" applyProtection="1">
      <alignment/>
      <protection/>
    </xf>
    <xf numFmtId="164" fontId="9" fillId="5" borderId="2" xfId="0" applyFont="1" applyFill="1" applyBorder="1" applyAlignment="1">
      <alignment horizontal="center" vertical="center"/>
    </xf>
    <xf numFmtId="165" fontId="0" fillId="4" borderId="2" xfId="0" applyNumberFormat="1" applyFont="1" applyFill="1" applyBorder="1" applyAlignment="1">
      <alignment horizontal="center" wrapText="1"/>
    </xf>
    <xf numFmtId="165" fontId="4" fillId="4" borderId="2" xfId="20" applyNumberFormat="1" applyFont="1" applyFill="1" applyBorder="1" applyAlignment="1" applyProtection="1">
      <alignment horizontal="center" wrapText="1"/>
      <protection/>
    </xf>
    <xf numFmtId="165" fontId="4" fillId="3" borderId="2" xfId="20" applyNumberFormat="1" applyFont="1" applyFill="1" applyBorder="1" applyAlignment="1" applyProtection="1">
      <alignment wrapText="1"/>
      <protection/>
    </xf>
    <xf numFmtId="165" fontId="4" fillId="3" borderId="2" xfId="20" applyNumberFormat="1" applyFont="1" applyFill="1" applyBorder="1" applyAlignment="1" applyProtection="1">
      <alignment horizontal="center" wrapText="1"/>
      <protection/>
    </xf>
    <xf numFmtId="165" fontId="4" fillId="4" borderId="2" xfId="20" applyNumberFormat="1" applyFont="1" applyFill="1" applyBorder="1" applyAlignment="1" applyProtection="1">
      <alignment horizontal="center"/>
      <protection/>
    </xf>
    <xf numFmtId="165" fontId="4" fillId="3" borderId="2" xfId="20" applyNumberFormat="1" applyFont="1" applyFill="1" applyBorder="1" applyAlignment="1" applyProtection="1">
      <alignment/>
      <protection/>
    </xf>
    <xf numFmtId="165" fontId="4" fillId="3" borderId="2" xfId="20" applyNumberFormat="1" applyFont="1" applyFill="1" applyBorder="1" applyAlignment="1" applyProtection="1">
      <alignment horizontal="center"/>
      <protection/>
    </xf>
    <xf numFmtId="165" fontId="0" fillId="4" borderId="2" xfId="0" applyNumberFormat="1" applyFont="1" applyFill="1" applyBorder="1" applyAlignment="1">
      <alignment horizontal="center"/>
    </xf>
    <xf numFmtId="165" fontId="4" fillId="6" borderId="2" xfId="20" applyNumberFormat="1" applyFont="1" applyFill="1" applyBorder="1" applyAlignment="1" applyProtection="1">
      <alignment/>
      <protection/>
    </xf>
    <xf numFmtId="165" fontId="4" fillId="6" borderId="2" xfId="20" applyNumberFormat="1" applyFont="1" applyFill="1" applyBorder="1" applyAlignment="1" applyProtection="1">
      <alignment horizontal="center"/>
      <protection/>
    </xf>
    <xf numFmtId="164" fontId="9" fillId="4" borderId="2" xfId="0" applyFont="1" applyFill="1" applyBorder="1" applyAlignment="1" applyProtection="1">
      <alignment horizontal="center" vertical="center"/>
      <protection locked="0"/>
    </xf>
    <xf numFmtId="165" fontId="0" fillId="3" borderId="2" xfId="20" applyNumberFormat="1" applyFont="1" applyFill="1" applyBorder="1" applyAlignment="1" applyProtection="1">
      <alignment/>
      <protection/>
    </xf>
    <xf numFmtId="165" fontId="0" fillId="3" borderId="2" xfId="20" applyNumberFormat="1" applyFont="1" applyFill="1" applyBorder="1" applyAlignment="1" applyProtection="1">
      <alignment horizontal="center"/>
      <protection/>
    </xf>
    <xf numFmtId="164" fontId="10" fillId="4" borderId="2" xfId="0" applyFont="1" applyFill="1" applyBorder="1" applyAlignment="1" applyProtection="1">
      <alignment horizontal="center" vertical="center"/>
      <protection locked="0"/>
    </xf>
    <xf numFmtId="165" fontId="8" fillId="3" borderId="2" xfId="20" applyNumberFormat="1" applyFont="1" applyFill="1" applyBorder="1" applyAlignment="1" applyProtection="1">
      <alignment/>
      <protection/>
    </xf>
    <xf numFmtId="165" fontId="8" fillId="3" borderId="2" xfId="20" applyNumberFormat="1" applyFont="1" applyFill="1" applyBorder="1" applyAlignment="1" applyProtection="1">
      <alignment horizontal="center"/>
      <protection/>
    </xf>
    <xf numFmtId="164" fontId="4" fillId="3" borderId="2" xfId="20" applyNumberFormat="1" applyFont="1" applyFill="1" applyBorder="1" applyAlignment="1" applyProtection="1">
      <alignment/>
      <protection/>
    </xf>
    <xf numFmtId="164" fontId="4" fillId="3" borderId="2" xfId="20" applyNumberFormat="1" applyFont="1" applyFill="1" applyBorder="1" applyAlignment="1" applyProtection="1">
      <alignment horizontal="center"/>
      <protection/>
    </xf>
    <xf numFmtId="164" fontId="0" fillId="3" borderId="2" xfId="0" applyFill="1" applyBorder="1" applyAlignment="1">
      <alignment horizontal="center"/>
    </xf>
    <xf numFmtId="164" fontId="0" fillId="3" borderId="2" xfId="0" applyFont="1" applyFill="1" applyBorder="1" applyAlignment="1" applyProtection="1">
      <alignment horizontal="center"/>
      <protection locked="0"/>
    </xf>
    <xf numFmtId="165" fontId="8" fillId="6" borderId="2" xfId="20" applyNumberFormat="1" applyFont="1" applyFill="1" applyBorder="1" applyAlignment="1" applyProtection="1">
      <alignment/>
      <protection/>
    </xf>
    <xf numFmtId="165" fontId="8" fillId="6" borderId="2" xfId="20" applyNumberFormat="1" applyFont="1" applyFill="1" applyBorder="1" applyAlignment="1" applyProtection="1">
      <alignment horizontal="center"/>
      <protection/>
    </xf>
    <xf numFmtId="164" fontId="0" fillId="4" borderId="2" xfId="20" applyNumberFormat="1" applyFont="1" applyFill="1" applyBorder="1" applyAlignment="1" applyProtection="1">
      <alignment horizontal="center" vertical="center"/>
      <protection/>
    </xf>
    <xf numFmtId="164" fontId="8" fillId="4" borderId="2" xfId="20" applyNumberFormat="1" applyFont="1" applyFill="1" applyBorder="1" applyAlignment="1" applyProtection="1">
      <alignment horizontal="center" vertical="center"/>
      <protection/>
    </xf>
    <xf numFmtId="164" fontId="8" fillId="4" borderId="2" xfId="20" applyNumberFormat="1" applyFont="1" applyFill="1" applyBorder="1" applyAlignment="1" applyProtection="1">
      <alignment horizontal="center" vertical="center"/>
      <protection locked="0"/>
    </xf>
    <xf numFmtId="164" fontId="10" fillId="3" borderId="2" xfId="0" applyFont="1" applyFill="1" applyBorder="1" applyAlignment="1">
      <alignment horizontal="center" vertical="center"/>
    </xf>
    <xf numFmtId="165" fontId="12" fillId="6" borderId="2" xfId="20" applyNumberFormat="1" applyFont="1" applyFill="1" applyBorder="1" applyAlignment="1" applyProtection="1">
      <alignment/>
      <protection/>
    </xf>
    <xf numFmtId="165" fontId="12" fillId="6" borderId="2" xfId="20" applyNumberFormat="1" applyFont="1" applyFill="1" applyBorder="1" applyAlignment="1" applyProtection="1">
      <alignment horizontal="center"/>
      <protection/>
    </xf>
    <xf numFmtId="164" fontId="13" fillId="6" borderId="2" xfId="0" applyFont="1" applyFill="1" applyBorder="1" applyAlignment="1">
      <alignment horizontal="center" vertical="center"/>
    </xf>
    <xf numFmtId="164" fontId="0" fillId="4" borderId="2" xfId="0" applyFill="1" applyBorder="1" applyAlignment="1">
      <alignment horizontal="center"/>
    </xf>
    <xf numFmtId="164" fontId="0" fillId="4" borderId="2" xfId="0" applyFont="1" applyFill="1" applyBorder="1" applyAlignment="1" applyProtection="1">
      <alignment horizontal="center"/>
      <protection locked="0"/>
    </xf>
    <xf numFmtId="165" fontId="0" fillId="4" borderId="2" xfId="20" applyNumberFormat="1" applyFont="1" applyFill="1" applyBorder="1" applyAlignment="1" applyProtection="1">
      <alignment/>
      <protection/>
    </xf>
    <xf numFmtId="165" fontId="0" fillId="4" borderId="2" xfId="20" applyNumberFormat="1" applyFont="1" applyFill="1" applyBorder="1" applyAlignment="1" applyProtection="1">
      <alignment horizontal="center"/>
      <protection/>
    </xf>
    <xf numFmtId="164" fontId="0" fillId="3" borderId="2" xfId="20" applyNumberFormat="1" applyFont="1" applyFill="1" applyBorder="1" applyAlignment="1" applyProtection="1">
      <alignment horizontal="center" vertical="center"/>
      <protection/>
    </xf>
    <xf numFmtId="164" fontId="8" fillId="3" borderId="2" xfId="20" applyNumberFormat="1" applyFont="1" applyFill="1" applyBorder="1" applyAlignment="1" applyProtection="1">
      <alignment horizontal="center" vertical="center"/>
      <protection/>
    </xf>
    <xf numFmtId="164" fontId="8" fillId="3" borderId="2" xfId="20" applyNumberFormat="1" applyFont="1" applyFill="1" applyBorder="1" applyAlignment="1" applyProtection="1">
      <alignment horizontal="center" vertical="center"/>
      <protection locked="0"/>
    </xf>
    <xf numFmtId="165" fontId="0" fillId="3" borderId="2" xfId="0" applyNumberFormat="1" applyFont="1" applyFill="1" applyBorder="1" applyAlignment="1">
      <alignment wrapText="1"/>
    </xf>
    <xf numFmtId="165" fontId="0" fillId="3" borderId="2" xfId="0" applyNumberFormat="1" applyFont="1" applyFill="1" applyBorder="1" applyAlignment="1">
      <alignment horizontal="center" wrapText="1"/>
    </xf>
    <xf numFmtId="165" fontId="4" fillId="7" borderId="2" xfId="20" applyNumberFormat="1" applyFont="1" applyFill="1" applyBorder="1" applyAlignment="1" applyProtection="1">
      <alignment/>
      <protection/>
    </xf>
    <xf numFmtId="165" fontId="4" fillId="7" borderId="2" xfId="20" applyNumberFormat="1" applyFont="1" applyFill="1" applyBorder="1" applyAlignment="1" applyProtection="1">
      <alignment horizontal="center"/>
      <protection/>
    </xf>
    <xf numFmtId="164" fontId="0" fillId="7" borderId="2" xfId="0" applyFill="1" applyBorder="1" applyAlignment="1">
      <alignment horizontal="center" vertical="center"/>
    </xf>
    <xf numFmtId="164" fontId="0" fillId="7" borderId="2" xfId="0" applyFont="1" applyFill="1" applyBorder="1" applyAlignment="1" applyProtection="1">
      <alignment horizontal="center" vertical="center"/>
      <protection locked="0"/>
    </xf>
    <xf numFmtId="165" fontId="0" fillId="7" borderId="2" xfId="0" applyNumberFormat="1" applyFont="1" applyFill="1" applyBorder="1" applyAlignment="1">
      <alignment/>
    </xf>
    <xf numFmtId="165" fontId="0" fillId="7" borderId="2" xfId="0" applyNumberFormat="1" applyFont="1" applyFill="1" applyBorder="1" applyAlignment="1">
      <alignment horizontal="center"/>
    </xf>
    <xf numFmtId="165" fontId="4" fillId="7" borderId="2" xfId="20" applyNumberFormat="1" applyFont="1" applyFill="1" applyBorder="1" applyAlignment="1" applyProtection="1">
      <alignment wrapText="1"/>
      <protection/>
    </xf>
    <xf numFmtId="165" fontId="4" fillId="7" borderId="2" xfId="20" applyNumberFormat="1" applyFont="1" applyFill="1" applyBorder="1" applyAlignment="1" applyProtection="1">
      <alignment horizontal="center" wrapText="1"/>
      <protection/>
    </xf>
    <xf numFmtId="165" fontId="3" fillId="7" borderId="2" xfId="20" applyNumberFormat="1" applyFont="1" applyFill="1" applyBorder="1" applyAlignment="1" applyProtection="1">
      <alignment wrapText="1"/>
      <protection/>
    </xf>
    <xf numFmtId="164" fontId="9" fillId="7" borderId="2" xfId="0" applyFont="1" applyFill="1" applyBorder="1" applyAlignment="1" applyProtection="1">
      <alignment horizontal="center" vertical="center"/>
      <protection locked="0"/>
    </xf>
    <xf numFmtId="165" fontId="8" fillId="4" borderId="2" xfId="20" applyNumberFormat="1" applyFont="1" applyFill="1" applyBorder="1" applyAlignment="1" applyProtection="1">
      <alignment/>
      <protection/>
    </xf>
    <xf numFmtId="165" fontId="8" fillId="4" borderId="2" xfId="20" applyNumberFormat="1" applyFont="1" applyFill="1" applyBorder="1" applyAlignment="1" applyProtection="1">
      <alignment horizontal="center"/>
      <protection/>
    </xf>
    <xf numFmtId="164" fontId="4" fillId="4" borderId="2" xfId="20" applyNumberFormat="1" applyFont="1" applyFill="1" applyBorder="1" applyAlignment="1" applyProtection="1">
      <alignment/>
      <protection/>
    </xf>
    <xf numFmtId="164" fontId="4" fillId="4" borderId="2" xfId="20" applyNumberFormat="1" applyFont="1" applyFill="1" applyBorder="1" applyAlignment="1" applyProtection="1">
      <alignment horizontal="center"/>
      <protection/>
    </xf>
    <xf numFmtId="165" fontId="4" fillId="6" borderId="2" xfId="20" applyNumberFormat="1" applyFont="1" applyFill="1" applyBorder="1" applyAlignment="1" applyProtection="1">
      <alignment wrapText="1"/>
      <protection/>
    </xf>
    <xf numFmtId="165" fontId="4" fillId="6" borderId="2" xfId="20" applyNumberFormat="1" applyFont="1" applyFill="1" applyBorder="1" applyAlignment="1" applyProtection="1">
      <alignment horizontal="center" wrapText="1"/>
      <protection/>
    </xf>
    <xf numFmtId="164" fontId="4" fillId="3" borderId="2" xfId="20" applyNumberFormat="1" applyFont="1" applyFill="1" applyBorder="1" applyAlignment="1" applyProtection="1">
      <alignment horizontal="left"/>
      <protection/>
    </xf>
    <xf numFmtId="164" fontId="14" fillId="4" borderId="2" xfId="0" applyFont="1" applyFill="1" applyBorder="1" applyAlignment="1" applyProtection="1">
      <alignment horizontal="center" vertical="center"/>
      <protection locked="0"/>
    </xf>
    <xf numFmtId="165" fontId="8" fillId="4" borderId="2" xfId="0" applyNumberFormat="1" applyFont="1" applyFill="1" applyBorder="1" applyAlignment="1" applyProtection="1">
      <alignment/>
      <protection locked="0"/>
    </xf>
    <xf numFmtId="165" fontId="8" fillId="4" borderId="2" xfId="0" applyNumberFormat="1" applyFont="1" applyFill="1" applyBorder="1" applyAlignment="1" applyProtection="1">
      <alignment horizontal="center"/>
      <protection locked="0"/>
    </xf>
    <xf numFmtId="164" fontId="0" fillId="4" borderId="2" xfId="0" applyFont="1" applyFill="1" applyBorder="1" applyAlignment="1" applyProtection="1">
      <alignment/>
      <protection hidden="1"/>
    </xf>
    <xf numFmtId="164" fontId="0" fillId="4" borderId="2" xfId="0" applyFont="1" applyFill="1" applyBorder="1" applyAlignment="1" applyProtection="1">
      <alignment horizontal="center"/>
      <protection hidden="1"/>
    </xf>
    <xf numFmtId="164" fontId="0" fillId="3" borderId="2" xfId="0" applyFill="1" applyBorder="1" applyAlignment="1" applyProtection="1">
      <alignment horizontal="center" vertical="center"/>
      <protection hidden="1"/>
    </xf>
    <xf numFmtId="164" fontId="0" fillId="3" borderId="2" xfId="0" applyFill="1" applyBorder="1" applyAlignment="1">
      <alignment/>
    </xf>
    <xf numFmtId="164" fontId="0" fillId="4" borderId="2" xfId="0" applyFill="1" applyBorder="1" applyAlignment="1">
      <alignment/>
    </xf>
    <xf numFmtId="164" fontId="0" fillId="4" borderId="2" xfId="0" applyFill="1" applyBorder="1" applyAlignment="1">
      <alignment vertical="center"/>
    </xf>
    <xf numFmtId="164" fontId="0" fillId="3" borderId="2" xfId="0" applyFill="1" applyBorder="1" applyAlignment="1">
      <alignment vertical="center"/>
    </xf>
    <xf numFmtId="165" fontId="0" fillId="3" borderId="2" xfId="0" applyNumberForma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164" fontId="0" fillId="5" borderId="2" xfId="0" applyFill="1" applyBorder="1" applyAlignment="1">
      <alignment vertical="center"/>
    </xf>
    <xf numFmtId="164" fontId="0" fillId="6" borderId="2" xfId="0" applyFill="1" applyBorder="1" applyAlignment="1">
      <alignment vertical="center"/>
    </xf>
    <xf numFmtId="164" fontId="0" fillId="6" borderId="2" xfId="0" applyFill="1" applyBorder="1" applyAlignment="1">
      <alignment horizontal="center" vertical="center"/>
    </xf>
    <xf numFmtId="164" fontId="7" fillId="4" borderId="2" xfId="0" applyFont="1" applyFill="1" applyBorder="1" applyAlignment="1">
      <alignment horizontal="center" vertical="center"/>
    </xf>
    <xf numFmtId="164" fontId="0" fillId="5" borderId="2" xfId="0" applyFill="1" applyBorder="1" applyAlignment="1">
      <alignment horizontal="center"/>
    </xf>
    <xf numFmtId="164" fontId="0" fillId="5" borderId="2" xfId="0" applyFont="1" applyFill="1" applyBorder="1" applyAlignment="1" applyProtection="1">
      <alignment horizontal="center"/>
      <protection locked="0"/>
    </xf>
    <xf numFmtId="164" fontId="4" fillId="4" borderId="0" xfId="20" applyNumberFormat="1" applyFont="1" applyFill="1" applyBorder="1" applyAlignment="1" applyProtection="1">
      <alignment/>
      <protection/>
    </xf>
    <xf numFmtId="164" fontId="0" fillId="4" borderId="1" xfId="0" applyFill="1" applyBorder="1" applyAlignment="1">
      <alignment horizontal="center" vertical="center"/>
    </xf>
    <xf numFmtId="165" fontId="0" fillId="5" borderId="2" xfId="0" applyNumberFormat="1" applyFont="1" applyFill="1" applyBorder="1" applyAlignment="1">
      <alignment wrapText="1"/>
    </xf>
    <xf numFmtId="164" fontId="0" fillId="4" borderId="2" xfId="0" applyFont="1" applyFill="1" applyBorder="1" applyAlignment="1">
      <alignment horizontal="left" vertical="center"/>
    </xf>
    <xf numFmtId="164" fontId="10" fillId="5" borderId="2" xfId="0" applyFont="1" applyFill="1" applyBorder="1" applyAlignment="1">
      <alignment horizontal="center" vertical="center"/>
    </xf>
    <xf numFmtId="165" fontId="0" fillId="8" borderId="2" xfId="0" applyNumberFormat="1" applyFont="1" applyFill="1" applyBorder="1" applyAlignment="1">
      <alignment/>
    </xf>
    <xf numFmtId="164" fontId="0" fillId="8" borderId="2" xfId="0" applyFill="1" applyBorder="1" applyAlignment="1">
      <alignment horizontal="center" vertical="center"/>
    </xf>
    <xf numFmtId="164" fontId="0" fillId="8" borderId="2" xfId="0" applyFont="1" applyFill="1" applyBorder="1" applyAlignment="1" applyProtection="1">
      <alignment horizontal="center" vertical="center"/>
      <protection locked="0"/>
    </xf>
    <xf numFmtId="164" fontId="7" fillId="4" borderId="2" xfId="0" applyFont="1" applyFill="1" applyBorder="1" applyAlignment="1" applyProtection="1">
      <alignment horizontal="center" vertical="center"/>
      <protection locked="0"/>
    </xf>
    <xf numFmtId="164" fontId="0" fillId="4" borderId="2" xfId="0" applyFont="1" applyFill="1" applyBorder="1" applyAlignment="1">
      <alignment wrapText="1"/>
    </xf>
    <xf numFmtId="166" fontId="0" fillId="4" borderId="2" xfId="0" applyNumberFormat="1" applyFont="1" applyFill="1" applyBorder="1" applyAlignment="1">
      <alignment wrapText="1"/>
    </xf>
    <xf numFmtId="164" fontId="3" fillId="4" borderId="2" xfId="20" applyNumberFormat="1" applyFont="1" applyFill="1" applyBorder="1" applyAlignment="1" applyProtection="1">
      <alignment/>
      <protection/>
    </xf>
    <xf numFmtId="165" fontId="3" fillId="5" borderId="2" xfId="0" applyNumberFormat="1" applyFont="1" applyFill="1" applyBorder="1" applyAlignment="1">
      <alignment/>
    </xf>
    <xf numFmtId="164" fontId="6" fillId="5" borderId="2" xfId="0" applyFont="1" applyFill="1" applyBorder="1" applyAlignment="1">
      <alignment horizontal="center" vertical="center"/>
    </xf>
    <xf numFmtId="165" fontId="3" fillId="4" borderId="2" xfId="0" applyNumberFormat="1" applyFont="1" applyFill="1" applyBorder="1" applyAlignment="1">
      <alignment/>
    </xf>
    <xf numFmtId="164" fontId="3" fillId="4" borderId="2" xfId="0" applyFont="1" applyFill="1" applyBorder="1" applyAlignment="1">
      <alignment horizontal="center" vertical="center"/>
    </xf>
    <xf numFmtId="164" fontId="3" fillId="4" borderId="2" xfId="0" applyFont="1" applyFill="1" applyBorder="1" applyAlignment="1" applyProtection="1">
      <alignment horizontal="center" vertical="center"/>
      <protection locked="0"/>
    </xf>
    <xf numFmtId="164" fontId="0" fillId="0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neration-msx.nl/msxdb/softwareinfo/789" TargetMode="External" /><Relationship Id="rId2" Type="http://schemas.openxmlformats.org/officeDocument/2006/relationships/hyperlink" Target="http://www.generation-msx.nl/msxdb/softwareinfo/790" TargetMode="External" /><Relationship Id="rId3" Type="http://schemas.openxmlformats.org/officeDocument/2006/relationships/hyperlink" Target="http://www.generation-msx.nl/msxdb/softwareinfo/552" TargetMode="External" /><Relationship Id="rId4" Type="http://schemas.openxmlformats.org/officeDocument/2006/relationships/hyperlink" Target="http://www.generation-msx.nl/msxdb/softwareinfo/550" TargetMode="External" /><Relationship Id="rId5" Type="http://schemas.openxmlformats.org/officeDocument/2006/relationships/hyperlink" Target="http://www.generation-msx.nl/msxdb/softwareinfo/791" TargetMode="External" /><Relationship Id="rId6" Type="http://schemas.openxmlformats.org/officeDocument/2006/relationships/hyperlink" Target="http://www.generation-msx.nl/msxdb/softwareinfo/2218" TargetMode="External" /><Relationship Id="rId7" Type="http://schemas.openxmlformats.org/officeDocument/2006/relationships/hyperlink" Target="http://www.generation-msx.nl/msxdb/softwareinfo/2827" TargetMode="External" /><Relationship Id="rId8" Type="http://schemas.openxmlformats.org/officeDocument/2006/relationships/hyperlink" Target="http://msxdev.msxblue.com/msxdev05.htm" TargetMode="External" /><Relationship Id="rId9" Type="http://schemas.openxmlformats.org/officeDocument/2006/relationships/hyperlink" Target="http://www.generation-msx.nl/msxdb/softwareinfo/546" TargetMode="External" /><Relationship Id="rId10" Type="http://schemas.openxmlformats.org/officeDocument/2006/relationships/hyperlink" Target="http://www.generation-msx.nl/msxdb/softwareinfo/2794" TargetMode="External" /><Relationship Id="rId11" Type="http://schemas.openxmlformats.org/officeDocument/2006/relationships/hyperlink" Target="http://www.generation-msx.nl/msxdb/softwareinfo/479" TargetMode="External" /><Relationship Id="rId12" Type="http://schemas.openxmlformats.org/officeDocument/2006/relationships/hyperlink" Target="http://www.generation-msx.nl/msxdb/softwareinfo/2442" TargetMode="External" /><Relationship Id="rId13" Type="http://schemas.openxmlformats.org/officeDocument/2006/relationships/hyperlink" Target="http://www.generation-msx.nl/msxdb/softwareinfo/3051" TargetMode="External" /><Relationship Id="rId14" Type="http://schemas.openxmlformats.org/officeDocument/2006/relationships/hyperlink" Target="http://www.generation-msx.nl/msxdb/softwareinfo/3216" TargetMode="External" /><Relationship Id="rId15" Type="http://schemas.openxmlformats.org/officeDocument/2006/relationships/hyperlink" Target="http://www.generation-msx.nl/msxdb/softwareinfo/2297" TargetMode="External" /><Relationship Id="rId16" Type="http://schemas.openxmlformats.org/officeDocument/2006/relationships/hyperlink" Target="http://www.generation-msx.nl/msxdb/softwareinfo/287" TargetMode="External" /><Relationship Id="rId17" Type="http://schemas.openxmlformats.org/officeDocument/2006/relationships/hyperlink" Target="http://www.generation-msx.nl/msxdb/softwareinfo/3213" TargetMode="External" /><Relationship Id="rId18" Type="http://schemas.openxmlformats.org/officeDocument/2006/relationships/hyperlink" Target="http://www.generation-msx.nl/msxdb/softwareinfo/2730" TargetMode="External" /><Relationship Id="rId19" Type="http://schemas.openxmlformats.org/officeDocument/2006/relationships/hyperlink" Target="http://www.generation-msx.nl/msxdb/softwareinfo/674" TargetMode="External" /><Relationship Id="rId20" Type="http://schemas.openxmlformats.org/officeDocument/2006/relationships/hyperlink" Target="http://www.generation-msx.nl/msxdb/softwareinfo/555" TargetMode="External" /><Relationship Id="rId21" Type="http://schemas.openxmlformats.org/officeDocument/2006/relationships/hyperlink" Target="http://www.generation-msx.nl/msxdb/softwareinfo/2384" TargetMode="External" /><Relationship Id="rId22" Type="http://schemas.openxmlformats.org/officeDocument/2006/relationships/hyperlink" Target="http://www.generation-msx.nl/msxdb/softwareinfo/556" TargetMode="External" /><Relationship Id="rId23" Type="http://schemas.openxmlformats.org/officeDocument/2006/relationships/hyperlink" Target="http://www.generation-msx.nl/msxdb/softwareinfo/2277" TargetMode="External" /><Relationship Id="rId24" Type="http://schemas.openxmlformats.org/officeDocument/2006/relationships/hyperlink" Target="http://www.generation-msx.nl/msxdb/softwareinfo/2680" TargetMode="External" /><Relationship Id="rId25" Type="http://schemas.openxmlformats.org/officeDocument/2006/relationships/hyperlink" Target="http://www.generation-msx.nl/msxdb/softwareinfo/3303" TargetMode="External" /><Relationship Id="rId26" Type="http://schemas.openxmlformats.org/officeDocument/2006/relationships/hyperlink" Target="http://www.generation-msx.nl/msxdb/softwareinfo/2660" TargetMode="External" /><Relationship Id="rId27" Type="http://schemas.openxmlformats.org/officeDocument/2006/relationships/hyperlink" Target="http://www.generation-msx.nl/msxdb/softwareinfo/2152" TargetMode="External" /><Relationship Id="rId28" Type="http://schemas.openxmlformats.org/officeDocument/2006/relationships/hyperlink" Target="http://www.generation-msx.nl/msxdb/softwareinfo/2087" TargetMode="External" /><Relationship Id="rId29" Type="http://schemas.openxmlformats.org/officeDocument/2006/relationships/hyperlink" Target="http://www.generation-msx.nl/msxdb/softwareinfo/160" TargetMode="External" /><Relationship Id="rId30" Type="http://schemas.openxmlformats.org/officeDocument/2006/relationships/hyperlink" Target="http://www.generation-msx.nl/msxdb/softwareinfo/760" TargetMode="External" /><Relationship Id="rId31" Type="http://schemas.openxmlformats.org/officeDocument/2006/relationships/hyperlink" Target="http://www.generation-msx.nl/msxdb/softwareinfo/2083" TargetMode="External" /><Relationship Id="rId32" Type="http://schemas.openxmlformats.org/officeDocument/2006/relationships/hyperlink" Target="http://www.generation-msx.nl/msxdb/softwareinfo/2099" TargetMode="External" /><Relationship Id="rId33" Type="http://schemas.openxmlformats.org/officeDocument/2006/relationships/hyperlink" Target="http://www.generation-msx.nl/msxdb/softwareinfo/2097" TargetMode="External" /><Relationship Id="rId34" Type="http://schemas.openxmlformats.org/officeDocument/2006/relationships/hyperlink" Target="http://www.generation-msx.nl/msxdb/softwareinfo/2740" TargetMode="External" /><Relationship Id="rId35" Type="http://schemas.openxmlformats.org/officeDocument/2006/relationships/hyperlink" Target="http://www.generation-msx.nl/msxdb/softwareinfo/748" TargetMode="External" /><Relationship Id="rId36" Type="http://schemas.openxmlformats.org/officeDocument/2006/relationships/hyperlink" Target="http://www.generation-msx.nl/msxdb/softwareinfo/2120" TargetMode="External" /><Relationship Id="rId37" Type="http://schemas.openxmlformats.org/officeDocument/2006/relationships/hyperlink" Target="http://www.generation-msx.nl/msxdb/softwareinfo/3340" TargetMode="External" /><Relationship Id="rId38" Type="http://schemas.openxmlformats.org/officeDocument/2006/relationships/hyperlink" Target="http://www.generation-msx.nl/msxdb/softwareinfo/3264" TargetMode="External" /><Relationship Id="rId39" Type="http://schemas.openxmlformats.org/officeDocument/2006/relationships/hyperlink" Target="http://www.generation-msx.nl/msxdb/softwareinfo/2298" TargetMode="External" /><Relationship Id="rId40" Type="http://schemas.openxmlformats.org/officeDocument/2006/relationships/hyperlink" Target="http://www.generation-msx.nl/msxdb/softwareinfo/2685" TargetMode="External" /><Relationship Id="rId41" Type="http://schemas.openxmlformats.org/officeDocument/2006/relationships/hyperlink" Target="http://www.generation-msx.nl/msxdb/softwareinfo/127" TargetMode="External" /><Relationship Id="rId42" Type="http://schemas.openxmlformats.org/officeDocument/2006/relationships/hyperlink" Target="http://www.generation-msx.nl/msxdb/softwareinfo/17" TargetMode="External" /><Relationship Id="rId43" Type="http://schemas.openxmlformats.org/officeDocument/2006/relationships/hyperlink" Target="http://www.generation-msx.nl/msxdb/softwareinfo/2722" TargetMode="External" /><Relationship Id="rId44" Type="http://schemas.openxmlformats.org/officeDocument/2006/relationships/hyperlink" Target="http://www.generation-msx.nl/msxdb/softwareinfo/2722" TargetMode="External" /><Relationship Id="rId45" Type="http://schemas.openxmlformats.org/officeDocument/2006/relationships/hyperlink" Target="http://www.generation-msx.nl/msxdb/softwareinfo/2722" TargetMode="External" /><Relationship Id="rId46" Type="http://schemas.openxmlformats.org/officeDocument/2006/relationships/hyperlink" Target="http://www.generation-msx.nl/msxdb/softwareinfo/2722" TargetMode="External" /><Relationship Id="rId47" Type="http://schemas.openxmlformats.org/officeDocument/2006/relationships/hyperlink" Target="http://www.generation-msx.nl/msxdb/softwareinfo/2722" TargetMode="External" /><Relationship Id="rId48" Type="http://schemas.openxmlformats.org/officeDocument/2006/relationships/hyperlink" Target="http://www.generation-msx.nl/msxdb/softwareinfo/2299" TargetMode="External" /><Relationship Id="rId49" Type="http://schemas.openxmlformats.org/officeDocument/2006/relationships/hyperlink" Target="http://www.generation-msx.nl/msxdb/softwareinfo/2341" TargetMode="External" /><Relationship Id="rId50" Type="http://schemas.openxmlformats.org/officeDocument/2006/relationships/hyperlink" Target="http://www.generation-msx.nl/msxdb/softwareinfo/2121" TargetMode="External" /><Relationship Id="rId51" Type="http://schemas.openxmlformats.org/officeDocument/2006/relationships/hyperlink" Target="http://www.generation-msx.nl/msxdb/softwareinfo/136" TargetMode="External" /><Relationship Id="rId52" Type="http://schemas.openxmlformats.org/officeDocument/2006/relationships/hyperlink" Target="http://www.generation-msx.nl/msxdb/softwareinfo/730" TargetMode="External" /><Relationship Id="rId53" Type="http://schemas.openxmlformats.org/officeDocument/2006/relationships/hyperlink" Target="http://www.generation-msx.nl/msxdb/softwareinfo/2094" TargetMode="External" /><Relationship Id="rId54" Type="http://schemas.openxmlformats.org/officeDocument/2006/relationships/hyperlink" Target="http://www.generation-msx.nl/msxdb/softwareinfo/27" TargetMode="External" /><Relationship Id="rId55" Type="http://schemas.openxmlformats.org/officeDocument/2006/relationships/hyperlink" Target="http://www.generation-msx.nl/msxdb/softwareinfo/326" TargetMode="External" /><Relationship Id="rId56" Type="http://schemas.openxmlformats.org/officeDocument/2006/relationships/hyperlink" Target="http://www.generation-msx.nl/msxdb/softwareinfo/3312" TargetMode="External" /><Relationship Id="rId57" Type="http://schemas.openxmlformats.org/officeDocument/2006/relationships/hyperlink" Target="http://www.generation-msx.nl/msxdb/softwareinfo/3389" TargetMode="External" /><Relationship Id="rId58" Type="http://schemas.openxmlformats.org/officeDocument/2006/relationships/hyperlink" Target="http://www.generation-msx.nl/msxdb/softwareinfo/480" TargetMode="External" /><Relationship Id="rId59" Type="http://schemas.openxmlformats.org/officeDocument/2006/relationships/hyperlink" Target="http://www.generation-msx.nl/msxdb/softwareinfo/479" TargetMode="External" /><Relationship Id="rId60" Type="http://schemas.openxmlformats.org/officeDocument/2006/relationships/hyperlink" Target="http://www.generation-msx.nl/msxdb/softwareinfo/3482" TargetMode="External" /><Relationship Id="rId61" Type="http://schemas.openxmlformats.org/officeDocument/2006/relationships/hyperlink" Target="http://www.generation-msx.nl/msxdb/softwareinfo/1796" TargetMode="External" /><Relationship Id="rId62" Type="http://schemas.openxmlformats.org/officeDocument/2006/relationships/hyperlink" Target="http://msxdev.msxblue.com/msxdev04.htm" TargetMode="External" /><Relationship Id="rId63" Type="http://schemas.openxmlformats.org/officeDocument/2006/relationships/hyperlink" Target="http://www.generation-msx.nl/msxdb/softwareinfo/30" TargetMode="External" /><Relationship Id="rId64" Type="http://schemas.openxmlformats.org/officeDocument/2006/relationships/hyperlink" Target="http://www.generation-msx.nl/msxdb/softwareinfo/2833" TargetMode="External" /><Relationship Id="rId65" Type="http://schemas.openxmlformats.org/officeDocument/2006/relationships/hyperlink" Target="http://www.generation-msx.nl/msxdb/softwareinfo/2719" TargetMode="External" /><Relationship Id="rId66" Type="http://schemas.openxmlformats.org/officeDocument/2006/relationships/hyperlink" Target="http://www.generation-msx.nl/msxdb/softwareinfo/2919" TargetMode="External" /><Relationship Id="rId67" Type="http://schemas.openxmlformats.org/officeDocument/2006/relationships/hyperlink" Target="http://www.generation-msx.nl/msxdb/softwareinfo/3300" TargetMode="External" /><Relationship Id="rId68" Type="http://schemas.openxmlformats.org/officeDocument/2006/relationships/hyperlink" Target="http://www.generation-msx.nl/msxdb/softwareinfo/2243" TargetMode="External" /><Relationship Id="rId69" Type="http://schemas.openxmlformats.org/officeDocument/2006/relationships/hyperlink" Target="http://www.generation-msx.nl/msxdb/softwareinfo/2244" TargetMode="External" /><Relationship Id="rId70" Type="http://schemas.openxmlformats.org/officeDocument/2006/relationships/hyperlink" Target="http://www.generation-msx.nl/msxdb/softwareinfo/2184" TargetMode="External" /><Relationship Id="rId71" Type="http://schemas.openxmlformats.org/officeDocument/2006/relationships/hyperlink" Target="http://msxdev.msxblue.com/msxdev05.htm" TargetMode="External" /><Relationship Id="rId72" Type="http://schemas.openxmlformats.org/officeDocument/2006/relationships/hyperlink" Target="http://www.generation-msx.nl/msxdb/softwareinfo/2122" TargetMode="External" /><Relationship Id="rId73" Type="http://schemas.openxmlformats.org/officeDocument/2006/relationships/hyperlink" Target="http://www.generation-msx.nl/msxdb/softwareinfo/2725" TargetMode="External" /><Relationship Id="rId74" Type="http://schemas.openxmlformats.org/officeDocument/2006/relationships/hyperlink" Target="http://www.generation-msx.nl/msxdb/softwareinfo/2725" TargetMode="External" /><Relationship Id="rId75" Type="http://schemas.openxmlformats.org/officeDocument/2006/relationships/hyperlink" Target="http://www.generation-msx.nl/msxdb/softwareinfo/2725" TargetMode="External" /><Relationship Id="rId76" Type="http://schemas.openxmlformats.org/officeDocument/2006/relationships/hyperlink" Target="http://www.generation-msx.nl/msxdb/softwareinfo/2725" TargetMode="External" /><Relationship Id="rId77" Type="http://schemas.openxmlformats.org/officeDocument/2006/relationships/hyperlink" Target="http://www.generation-msx.nl/msxdb/softwareinfo/2725" TargetMode="External" /><Relationship Id="rId78" Type="http://schemas.openxmlformats.org/officeDocument/2006/relationships/hyperlink" Target="http://www.generation-msx.nl/msxdb/softwareinfo/1117" TargetMode="External" /><Relationship Id="rId79" Type="http://schemas.openxmlformats.org/officeDocument/2006/relationships/hyperlink" Target="http://www.generation-msx.nl/msxdb/softwareinfo/467" TargetMode="External" /><Relationship Id="rId80" Type="http://schemas.openxmlformats.org/officeDocument/2006/relationships/hyperlink" Target="http://www.generation-msx.nl/msxdb/softwareinfo/154" TargetMode="External" /><Relationship Id="rId81" Type="http://schemas.openxmlformats.org/officeDocument/2006/relationships/hyperlink" Target="http://www.generation-msx.nl/msxdb/softwareinfo/3391" TargetMode="External" /><Relationship Id="rId82" Type="http://schemas.openxmlformats.org/officeDocument/2006/relationships/hyperlink" Target="http://www.generation-msx.nl/msxdb/softwareinfo/424" TargetMode="External" /><Relationship Id="rId83" Type="http://schemas.openxmlformats.org/officeDocument/2006/relationships/hyperlink" Target="http://www.generation-msx.nl/msxdb/softwareinfo/933" TargetMode="External" /><Relationship Id="rId84" Type="http://schemas.openxmlformats.org/officeDocument/2006/relationships/hyperlink" Target="http://msxdev.msxblue.com/msxdev05.htm" TargetMode="External" /><Relationship Id="rId85" Type="http://schemas.openxmlformats.org/officeDocument/2006/relationships/hyperlink" Target="http://www.generation-msx.nl/msxdb/softwareinfo/24" TargetMode="External" /><Relationship Id="rId86" Type="http://schemas.openxmlformats.org/officeDocument/2006/relationships/hyperlink" Target="http://www.generation-msx.nl/msxdb/softwareinfo/2907" TargetMode="External" /><Relationship Id="rId87" Type="http://schemas.openxmlformats.org/officeDocument/2006/relationships/hyperlink" Target="http://www.msxcafe.com/modules/wfdownloads/singlefile.php?cid=3&amp;lid=179" TargetMode="External" /><Relationship Id="rId88" Type="http://schemas.openxmlformats.org/officeDocument/2006/relationships/hyperlink" Target="http://www.generation-msx.nl/msxdb/softwareinfo/23" TargetMode="External" /><Relationship Id="rId89" Type="http://schemas.openxmlformats.org/officeDocument/2006/relationships/hyperlink" Target="http://www.generation-msx.nl/msxdb/softwareinfo/2713" TargetMode="External" /><Relationship Id="rId90" Type="http://schemas.openxmlformats.org/officeDocument/2006/relationships/hyperlink" Target="http://www.generation-msx.nl/msxdb/softwareinfo/2713" TargetMode="External" /><Relationship Id="rId91" Type="http://schemas.openxmlformats.org/officeDocument/2006/relationships/hyperlink" Target="http://www.konamito.com/node/1067&amp;id=2581" TargetMode="External" /><Relationship Id="rId92" Type="http://schemas.openxmlformats.org/officeDocument/2006/relationships/hyperlink" Target="http://www.generation-msx.nl/msxdb/softwareinfo/456" TargetMode="External" /><Relationship Id="rId93" Type="http://schemas.openxmlformats.org/officeDocument/2006/relationships/hyperlink" Target="http://www.konamito.com/node/1067&amp;id=1022" TargetMode="External" /><Relationship Id="rId94" Type="http://schemas.openxmlformats.org/officeDocument/2006/relationships/hyperlink" Target="http://www.generation-msx.nl/msxdb/softwareinfo/3372" TargetMode="External" /><Relationship Id="rId95" Type="http://schemas.openxmlformats.org/officeDocument/2006/relationships/hyperlink" Target="http://www.generation-msx.nl/msxdb/softwareinfo/2845" TargetMode="External" /><Relationship Id="rId96" Type="http://schemas.openxmlformats.org/officeDocument/2006/relationships/hyperlink" Target="http://www.konamito.com/node/1067&amp;id=931" TargetMode="External" /><Relationship Id="rId97" Type="http://schemas.openxmlformats.org/officeDocument/2006/relationships/hyperlink" Target="http://www.generation-msx.nl/msxdb/softwareinfo/2342" TargetMode="External" /><Relationship Id="rId98" Type="http://schemas.openxmlformats.org/officeDocument/2006/relationships/hyperlink" Target="http://www.generation-msx.nl/msxdb/softwareinfo/2092" TargetMode="External" /><Relationship Id="rId99" Type="http://schemas.openxmlformats.org/officeDocument/2006/relationships/hyperlink" Target="http://www.generation-msx.nl/msxdb/softwareinfo/2988" TargetMode="External" /><Relationship Id="rId100" Type="http://schemas.openxmlformats.org/officeDocument/2006/relationships/hyperlink" Target="http://www.generation-msx.nl/msxdb/softwareinfo/3230" TargetMode="External" /><Relationship Id="rId101" Type="http://schemas.openxmlformats.org/officeDocument/2006/relationships/hyperlink" Target="http://msxdev.msxblue.com/msxdev06.htm" TargetMode="External" /><Relationship Id="rId102" Type="http://schemas.openxmlformats.org/officeDocument/2006/relationships/hyperlink" Target="http://www.generation-msx.nl/msxdb/softwareinfo/3288" TargetMode="External" /><Relationship Id="rId103" Type="http://schemas.openxmlformats.org/officeDocument/2006/relationships/hyperlink" Target="http://www.generation-msx.nl/msxdb/softwareinfo/971" TargetMode="External" /><Relationship Id="rId104" Type="http://schemas.openxmlformats.org/officeDocument/2006/relationships/hyperlink" Target="http://www.generation-msx.nl/msxdb/softwareinfo/543" TargetMode="External" /><Relationship Id="rId105" Type="http://schemas.openxmlformats.org/officeDocument/2006/relationships/hyperlink" Target="http://www.generation-msx.nl/msxdb/softwareinfo/3251" TargetMode="External" /><Relationship Id="rId106" Type="http://schemas.openxmlformats.org/officeDocument/2006/relationships/hyperlink" Target="http://www.generation-msx.nl/msxdb/softwareinfo/2668" TargetMode="External" /><Relationship Id="rId107" Type="http://schemas.openxmlformats.org/officeDocument/2006/relationships/hyperlink" Target="http://msxdev.msxblue.com/msxdev08.htm" TargetMode="External" /><Relationship Id="rId108" Type="http://schemas.openxmlformats.org/officeDocument/2006/relationships/hyperlink" Target="http://www.generation-msx.nl/msxdb/softwareinfo/223" TargetMode="External" /><Relationship Id="rId109" Type="http://schemas.openxmlformats.org/officeDocument/2006/relationships/hyperlink" Target="http://www.generation-msx.nl/msxdb/softwareinfo/3166" TargetMode="External" /><Relationship Id="rId110" Type="http://schemas.openxmlformats.org/officeDocument/2006/relationships/hyperlink" Target="http://www.generation-msx.nl/msxdb/softwareinfo/2677" TargetMode="External" /><Relationship Id="rId111" Type="http://schemas.openxmlformats.org/officeDocument/2006/relationships/hyperlink" Target="http://www.generation-msx.nl/msxdb/softwareinfo/3195" TargetMode="External" /><Relationship Id="rId112" Type="http://schemas.openxmlformats.org/officeDocument/2006/relationships/hyperlink" Target="http://www.generation-msx.nl/msxdb/softwareinfo/2781" TargetMode="External" /><Relationship Id="rId113" Type="http://schemas.openxmlformats.org/officeDocument/2006/relationships/hyperlink" Target="http://www.generation-msx.nl/msxdb/softwareinfo/210" TargetMode="External" /><Relationship Id="rId114" Type="http://schemas.openxmlformats.org/officeDocument/2006/relationships/hyperlink" Target="http://www.generation-msx.nl/msxdb/softwareinfo/220" TargetMode="External" /><Relationship Id="rId115" Type="http://schemas.openxmlformats.org/officeDocument/2006/relationships/hyperlink" Target="http://www.generation-msx.nl/msxdb/softwareinfo/3094" TargetMode="External" /><Relationship Id="rId116" Type="http://schemas.openxmlformats.org/officeDocument/2006/relationships/hyperlink" Target="http://www.generation-msx.nl/msxdb/softwareinfo/2815" TargetMode="External" /><Relationship Id="rId117" Type="http://schemas.openxmlformats.org/officeDocument/2006/relationships/hyperlink" Target="http://www.generation-msx.nl/msxdb/softwareinfo/3341" TargetMode="External" /><Relationship Id="rId118" Type="http://schemas.openxmlformats.org/officeDocument/2006/relationships/hyperlink" Target="http://www.generation-msx.nl/msxdb/softwareinfo/2889" TargetMode="External" /><Relationship Id="rId119" Type="http://schemas.openxmlformats.org/officeDocument/2006/relationships/hyperlink" Target="http://www.generation-msx.nl/msxdb/softwareinfo/2911" TargetMode="External" /><Relationship Id="rId120" Type="http://schemas.openxmlformats.org/officeDocument/2006/relationships/hyperlink" Target="http://www.generation-msx.nl/msxdb/softwareinfo/1160" TargetMode="External" /><Relationship Id="rId121" Type="http://schemas.openxmlformats.org/officeDocument/2006/relationships/hyperlink" Target="http://www.generation-msx.nl/msxdb/softwareinfo/1161" TargetMode="External" /><Relationship Id="rId122" Type="http://schemas.openxmlformats.org/officeDocument/2006/relationships/hyperlink" Target="http://www.generation-msx.nl/msxdb/softwareinfo/2176" TargetMode="External" /><Relationship Id="rId123" Type="http://schemas.openxmlformats.org/officeDocument/2006/relationships/hyperlink" Target="http://www.generation-msx.nl/msxdb/softwareinfo/798" TargetMode="External" /><Relationship Id="rId124" Type="http://schemas.openxmlformats.org/officeDocument/2006/relationships/hyperlink" Target="http://www.generation-msx.nl/msxdb/softwareinfo/982" TargetMode="External" /><Relationship Id="rId125" Type="http://schemas.openxmlformats.org/officeDocument/2006/relationships/hyperlink" Target="http://www.generation-msx.nl/msxdb/softwareinfo/2235" TargetMode="External" /><Relationship Id="rId126" Type="http://schemas.openxmlformats.org/officeDocument/2006/relationships/hyperlink" Target="http://www.generation-msx.nl/msxdb/softwareinfo/2708" TargetMode="External" /><Relationship Id="rId127" Type="http://schemas.openxmlformats.org/officeDocument/2006/relationships/hyperlink" Target="http://www.generation-msx.nl/msxdb/softwareinfo/2300" TargetMode="External" /><Relationship Id="rId128" Type="http://schemas.openxmlformats.org/officeDocument/2006/relationships/hyperlink" Target="http://www.generation-msx.nl/msxdb/softwareinfo/2301" TargetMode="External" /><Relationship Id="rId129" Type="http://schemas.openxmlformats.org/officeDocument/2006/relationships/hyperlink" Target="http://www.generation-msx.nl/msxdb/softwareinfo/3223" TargetMode="External" /><Relationship Id="rId130" Type="http://schemas.openxmlformats.org/officeDocument/2006/relationships/hyperlink" Target="http://www.generation-msx.nl/msxdb/softwareinfo/3523" TargetMode="External" /><Relationship Id="rId131" Type="http://schemas.openxmlformats.org/officeDocument/2006/relationships/hyperlink" Target="http://www.generation-msx.nl/msxdb/softwareinfo/3167" TargetMode="External" /><Relationship Id="rId132" Type="http://schemas.openxmlformats.org/officeDocument/2006/relationships/hyperlink" Target="http://www.generation-msx.nl/msxdb/softwareinfo/1524" TargetMode="External" /><Relationship Id="rId133" Type="http://schemas.openxmlformats.org/officeDocument/2006/relationships/hyperlink" Target="http://www.generation-msx.nl/msxdb/softwareinfo/2220" TargetMode="External" /><Relationship Id="rId134" Type="http://schemas.openxmlformats.org/officeDocument/2006/relationships/hyperlink" Target="http://www.generation-msx.nl/msxdb/softwareinfo/51" TargetMode="External" /><Relationship Id="rId135" Type="http://schemas.openxmlformats.org/officeDocument/2006/relationships/hyperlink" Target="http://www.generation-msx.nl/msxdb/softwareinfo/2887" TargetMode="External" /><Relationship Id="rId136" Type="http://schemas.openxmlformats.org/officeDocument/2006/relationships/hyperlink" Target="http://www.generation-msx.nl/msxdb/softwareinfo/221" TargetMode="External" /><Relationship Id="rId137" Type="http://schemas.openxmlformats.org/officeDocument/2006/relationships/hyperlink" Target="http://www.generation-msx.nl/msxdb/softwareinfo/2278" TargetMode="External" /><Relationship Id="rId138" Type="http://schemas.openxmlformats.org/officeDocument/2006/relationships/hyperlink" Target="http://www.generation-msx.nl/msxdb/softwareinfo/3277" TargetMode="External" /><Relationship Id="rId139" Type="http://schemas.openxmlformats.org/officeDocument/2006/relationships/hyperlink" Target="http://www.generation-msx.nl/msxdb/softwareinfo/2201" TargetMode="External" /><Relationship Id="rId140" Type="http://schemas.openxmlformats.org/officeDocument/2006/relationships/hyperlink" Target="http://www.generation-msx.nl/msxdb/softwareinfo/560" TargetMode="External" /><Relationship Id="rId141" Type="http://schemas.openxmlformats.org/officeDocument/2006/relationships/hyperlink" Target="http://www.generation-msx.nl/msxdb/softwareinfo/3053" TargetMode="External" /><Relationship Id="rId142" Type="http://schemas.openxmlformats.org/officeDocument/2006/relationships/hyperlink" Target="http://www.generation-msx.nl/msxdb/softwareinfo/50" TargetMode="External" /><Relationship Id="rId143" Type="http://schemas.openxmlformats.org/officeDocument/2006/relationships/hyperlink" Target="http://www.generation-msx.nl/msxdb/softwareinfo/559" TargetMode="External" /><Relationship Id="rId144" Type="http://schemas.openxmlformats.org/officeDocument/2006/relationships/hyperlink" Target="http://www.generation-msx.nl/msxdb/softwareinfo/3385" TargetMode="External" /><Relationship Id="rId145" Type="http://schemas.openxmlformats.org/officeDocument/2006/relationships/hyperlink" Target="http://www.msxcafe.com/modules/wfdownloads/singlefile.php?cid=3&amp;lid=332" TargetMode="External" /><Relationship Id="rId146" Type="http://schemas.openxmlformats.org/officeDocument/2006/relationships/hyperlink" Target="http://www.generation-msx.nl/msxdb/softwareinfo/200" TargetMode="External" /><Relationship Id="rId147" Type="http://schemas.openxmlformats.org/officeDocument/2006/relationships/hyperlink" Target="http://www.generation-msx.nl/msxdb/softwareinfo/564" TargetMode="External" /><Relationship Id="rId148" Type="http://schemas.openxmlformats.org/officeDocument/2006/relationships/hyperlink" Target="http://www.generation-msx.nl/msxdb/softwareinfo/2194" TargetMode="External" /><Relationship Id="rId149" Type="http://schemas.openxmlformats.org/officeDocument/2006/relationships/hyperlink" Target="http://www.generation-msx.nl/msxdb/softwareinfo/2124" TargetMode="External" /><Relationship Id="rId150" Type="http://schemas.openxmlformats.org/officeDocument/2006/relationships/hyperlink" Target="http://www.generation-msx.nl/msxdb/softwareinfo/2918" TargetMode="External" /><Relationship Id="rId151" Type="http://schemas.openxmlformats.org/officeDocument/2006/relationships/hyperlink" Target="http://www.generation-msx.nl/msxdb/softwareinfo/237" TargetMode="External" /><Relationship Id="rId152" Type="http://schemas.openxmlformats.org/officeDocument/2006/relationships/hyperlink" Target="http://www.generation-msx.nl/msxdb/softwareinfo/563" TargetMode="External" /><Relationship Id="rId153" Type="http://schemas.openxmlformats.org/officeDocument/2006/relationships/hyperlink" Target="http://www.generation-msx.nl/msxdb/softwareinfo/236" TargetMode="External" /><Relationship Id="rId154" Type="http://schemas.openxmlformats.org/officeDocument/2006/relationships/hyperlink" Target="http://www.generation-msx.nl/msxdb/softwareinfo/3428" TargetMode="External" /><Relationship Id="rId155" Type="http://schemas.openxmlformats.org/officeDocument/2006/relationships/hyperlink" Target="http://www.generation-msx.nl/msxdb/softwareinfo/3169" TargetMode="External" /><Relationship Id="rId156" Type="http://schemas.openxmlformats.org/officeDocument/2006/relationships/hyperlink" Target="http://www.generation-msx.nl/msxdb/softwareinfo/3044" TargetMode="External" /><Relationship Id="rId157" Type="http://schemas.openxmlformats.org/officeDocument/2006/relationships/hyperlink" Target="http://www.generation-msx.nl/msxdb/softwareinfo/2785" TargetMode="External" /><Relationship Id="rId158" Type="http://schemas.openxmlformats.org/officeDocument/2006/relationships/hyperlink" Target="http://www.generation-msx.nl/msxdb/softwareinfo/3310" TargetMode="External" /><Relationship Id="rId159" Type="http://schemas.openxmlformats.org/officeDocument/2006/relationships/hyperlink" Target="http://www.generation-msx.nl/msxdb/softwareinfo/233" TargetMode="External" /><Relationship Id="rId160" Type="http://schemas.openxmlformats.org/officeDocument/2006/relationships/hyperlink" Target="http://www.generation-msx.nl/msxdb/softwareinfo/3373" TargetMode="External" /><Relationship Id="rId161" Type="http://schemas.openxmlformats.org/officeDocument/2006/relationships/hyperlink" Target="http://www.generation-msx.nl/msxdb/softwareinfo/804" TargetMode="External" /><Relationship Id="rId162" Type="http://schemas.openxmlformats.org/officeDocument/2006/relationships/hyperlink" Target="http://www.generation-msx.nl/msxdb/softwareinfo/1171" TargetMode="External" /><Relationship Id="rId163" Type="http://schemas.openxmlformats.org/officeDocument/2006/relationships/hyperlink" Target="http://www.generation-msx.nl/msxdb/softwareinfo/566" TargetMode="External" /><Relationship Id="rId164" Type="http://schemas.openxmlformats.org/officeDocument/2006/relationships/hyperlink" Target="http://www.generation-msx.nl/msxdb/softwareinfo/939" TargetMode="External" /><Relationship Id="rId165" Type="http://schemas.openxmlformats.org/officeDocument/2006/relationships/hyperlink" Target="http://www.generation-msx.nl/msxdb/softwareinfo/880" TargetMode="External" /><Relationship Id="rId166" Type="http://schemas.openxmlformats.org/officeDocument/2006/relationships/hyperlink" Target="http://www.generation-msx.nl/msxdb/softwareinfo/1377" TargetMode="External" /><Relationship Id="rId167" Type="http://schemas.openxmlformats.org/officeDocument/2006/relationships/hyperlink" Target="http://www.generation-msx.nl/msxdb/softwareinfo/981" TargetMode="External" /><Relationship Id="rId168" Type="http://schemas.openxmlformats.org/officeDocument/2006/relationships/hyperlink" Target="http://www.generation-msx.nl/msxdb/softwareinfo/3196" TargetMode="External" /><Relationship Id="rId169" Type="http://schemas.openxmlformats.org/officeDocument/2006/relationships/hyperlink" Target="http://www.generation-msx.nl/msxdb/softwareinfo/2302" TargetMode="External" /><Relationship Id="rId170" Type="http://schemas.openxmlformats.org/officeDocument/2006/relationships/hyperlink" Target="http://www.generation-msx.nl/msxdb/softwareinfo/98" TargetMode="External" /><Relationship Id="rId171" Type="http://schemas.openxmlformats.org/officeDocument/2006/relationships/hyperlink" Target="http://www.generation-msx.nl/msxdb/softwareinfo/3190" TargetMode="External" /><Relationship Id="rId172" Type="http://schemas.openxmlformats.org/officeDocument/2006/relationships/hyperlink" Target="http://www.generation-msx.nl/msxdb/softwareinfo/3012" TargetMode="External" /><Relationship Id="rId173" Type="http://schemas.openxmlformats.org/officeDocument/2006/relationships/hyperlink" Target="http://msxgamesbox.com/karoshi/index.php?PHPSESSID=02ff93b14ffd7afd7470b79ae45770ed&amp;topic=828.0" TargetMode="External" /><Relationship Id="rId174" Type="http://schemas.openxmlformats.org/officeDocument/2006/relationships/hyperlink" Target="http://www.generation-msx.nl/msxdb/softwareinfo/1385" TargetMode="External" /><Relationship Id="rId175" Type="http://schemas.openxmlformats.org/officeDocument/2006/relationships/hyperlink" Target="http://www.generation-msx.nl/msxdb/softwareinfo/787" TargetMode="External" /><Relationship Id="rId176" Type="http://schemas.openxmlformats.org/officeDocument/2006/relationships/hyperlink" Target="http://www.generation-msx.nl/msxdb/softwareinfo/3554" TargetMode="External" /><Relationship Id="rId177" Type="http://schemas.openxmlformats.org/officeDocument/2006/relationships/hyperlink" Target="http://www.generation-msx.nl/msxdb/softwareinfo/785" TargetMode="External" /><Relationship Id="rId178" Type="http://schemas.openxmlformats.org/officeDocument/2006/relationships/hyperlink" Target="http://www.generation-msx.nl/msxdb/softwareinfo/2125" TargetMode="External" /><Relationship Id="rId179" Type="http://schemas.openxmlformats.org/officeDocument/2006/relationships/hyperlink" Target="http://www.generation-msx.nl/msxdb/softwareinfo/967" TargetMode="External" /><Relationship Id="rId180" Type="http://schemas.openxmlformats.org/officeDocument/2006/relationships/hyperlink" Target="http://www.generation-msx.nl/msxdb/softwareinfo/3277" TargetMode="External" /><Relationship Id="rId181" Type="http://schemas.openxmlformats.org/officeDocument/2006/relationships/hyperlink" Target="http://www.generation-msx.nl/msxdb/softwareinfo/97" TargetMode="External" /><Relationship Id="rId182" Type="http://schemas.openxmlformats.org/officeDocument/2006/relationships/hyperlink" Target="http://www.generation-msx.nl/msxdb/softwareinfo/2158" TargetMode="External" /><Relationship Id="rId183" Type="http://schemas.openxmlformats.org/officeDocument/2006/relationships/hyperlink" Target="http://www.generation-msx.nl/msxdb/softwareinfo/379" TargetMode="External" /><Relationship Id="rId184" Type="http://schemas.openxmlformats.org/officeDocument/2006/relationships/hyperlink" Target="http://msxdev.msxblue.com/msxdev04.htm" TargetMode="External" /><Relationship Id="rId185" Type="http://schemas.openxmlformats.org/officeDocument/2006/relationships/hyperlink" Target="http://www.generation-msx.nl/msxdb/softwareinfo/2908" TargetMode="External" /><Relationship Id="rId186" Type="http://schemas.openxmlformats.org/officeDocument/2006/relationships/hyperlink" Target="http://www.generation-msx.nl/msxdb/softwareinfo/2726" TargetMode="External" /><Relationship Id="rId187" Type="http://schemas.openxmlformats.org/officeDocument/2006/relationships/hyperlink" Target="http://www.generation-msx.nl/msxdb/softwareinfo/391" TargetMode="External" /><Relationship Id="rId188" Type="http://schemas.openxmlformats.org/officeDocument/2006/relationships/hyperlink" Target="http://www.generation-msx.nl/msxdb/softwareinfo/861" TargetMode="External" /><Relationship Id="rId189" Type="http://schemas.openxmlformats.org/officeDocument/2006/relationships/hyperlink" Target="http://www.generation-msx.nl/msxdb/softwareinfo/388" TargetMode="External" /><Relationship Id="rId190" Type="http://schemas.openxmlformats.org/officeDocument/2006/relationships/hyperlink" Target="http://www.generation-msx.nl/msxdb/softwareinfo/2200" TargetMode="External" /><Relationship Id="rId191" Type="http://schemas.openxmlformats.org/officeDocument/2006/relationships/hyperlink" Target="http://www.generation-msx.nl/msxdb/softwareinfo/2200" TargetMode="External" /><Relationship Id="rId192" Type="http://schemas.openxmlformats.org/officeDocument/2006/relationships/hyperlink" Target="http://www.generation-msx.nl/msxdb/softwareinfo/2152" TargetMode="External" /><Relationship Id="rId193" Type="http://schemas.openxmlformats.org/officeDocument/2006/relationships/hyperlink" Target="http://www.generation-msx.nl/msxdb/softwareinfo/3252" TargetMode="External" /><Relationship Id="rId194" Type="http://schemas.openxmlformats.org/officeDocument/2006/relationships/hyperlink" Target="http://www.generation-msx.nl/msxdb/softwareinfo/3261" TargetMode="External" /><Relationship Id="rId195" Type="http://schemas.openxmlformats.org/officeDocument/2006/relationships/hyperlink" Target="http://www.generation-msx.nl/msxdb/softwareinfo/2223" TargetMode="External" /><Relationship Id="rId196" Type="http://schemas.openxmlformats.org/officeDocument/2006/relationships/hyperlink" Target="http://www.generation-msx.nl/msxdb/softwareinfo/2089" TargetMode="External" /><Relationship Id="rId197" Type="http://schemas.openxmlformats.org/officeDocument/2006/relationships/hyperlink" Target="http://www.generation-msx.nl/msxdb/softwareinfo/2309" TargetMode="External" /><Relationship Id="rId198" Type="http://schemas.openxmlformats.org/officeDocument/2006/relationships/hyperlink" Target="http://www.generation-msx.nl/msxdb/softwareinfo/2349" TargetMode="External" /><Relationship Id="rId199" Type="http://schemas.openxmlformats.org/officeDocument/2006/relationships/hyperlink" Target="http://www.generation-msx.nl/msxdb/softwareinfo/2897" TargetMode="External" /><Relationship Id="rId200" Type="http://schemas.openxmlformats.org/officeDocument/2006/relationships/hyperlink" Target="http://www.generation-msx.nl/msxdb/softwareinfo/2696" TargetMode="External" /><Relationship Id="rId201" Type="http://schemas.openxmlformats.org/officeDocument/2006/relationships/hyperlink" Target="http://www.generation-msx.nl/msxdb/softwareinfo/2797" TargetMode="External" /><Relationship Id="rId202" Type="http://schemas.openxmlformats.org/officeDocument/2006/relationships/hyperlink" Target="http://www.generation-msx.nl/msxdb/softwareinfo/2326" TargetMode="External" /><Relationship Id="rId203" Type="http://schemas.openxmlformats.org/officeDocument/2006/relationships/hyperlink" Target="http://www.generation-msx.nl/msxdb/softwareinfo/3171" TargetMode="External" /><Relationship Id="rId204" Type="http://schemas.openxmlformats.org/officeDocument/2006/relationships/hyperlink" Target="http://www.generation-msx.nl/msxdb/softwareinfo/2343" TargetMode="External" /><Relationship Id="rId205" Type="http://schemas.openxmlformats.org/officeDocument/2006/relationships/hyperlink" Target="http://www.generation-msx.nl/msxdb/softwareinfo/2279" TargetMode="External" /><Relationship Id="rId206" Type="http://schemas.openxmlformats.org/officeDocument/2006/relationships/hyperlink" Target="http://www.konamito.com/ficha/?id=1544" TargetMode="External" /><Relationship Id="rId207" Type="http://schemas.openxmlformats.org/officeDocument/2006/relationships/hyperlink" Target="http://www.generation-msx.nl/msxdb/softwareinfo/912" TargetMode="External" /><Relationship Id="rId208" Type="http://schemas.openxmlformats.org/officeDocument/2006/relationships/hyperlink" Target="http://www.generation-msx.nl/msxdb/softwareinfo/2768" TargetMode="External" /><Relationship Id="rId209" Type="http://schemas.openxmlformats.org/officeDocument/2006/relationships/hyperlink" Target="http://www.generation-msx.nl/msxdb/softwareinfo/3189" TargetMode="External" /><Relationship Id="rId210" Type="http://schemas.openxmlformats.org/officeDocument/2006/relationships/hyperlink" Target="http://www.generation-msx.nl/msxdb/softwareinfo/107" TargetMode="External" /><Relationship Id="rId211" Type="http://schemas.openxmlformats.org/officeDocument/2006/relationships/hyperlink" Target="http://www.generation-msx.nl/msxdb/softwareinfo/108" TargetMode="External" /><Relationship Id="rId212" Type="http://schemas.openxmlformats.org/officeDocument/2006/relationships/hyperlink" Target="http://www.generation-msx.nl/msxdb/softwareinfo/204" TargetMode="External" /><Relationship Id="rId213" Type="http://schemas.openxmlformats.org/officeDocument/2006/relationships/hyperlink" Target="http://www.generation-msx.nl/msxdb/softwareinfo/712" TargetMode="External" /><Relationship Id="rId214" Type="http://schemas.openxmlformats.org/officeDocument/2006/relationships/hyperlink" Target="http://www.generation-msx.nl/msxdb/softwareinfo/713" TargetMode="External" /><Relationship Id="rId215" Type="http://schemas.openxmlformats.org/officeDocument/2006/relationships/hyperlink" Target="http://www.generation-msx.nl/msxdb/softwareinfo/3002" TargetMode="External" /><Relationship Id="rId216" Type="http://schemas.openxmlformats.org/officeDocument/2006/relationships/hyperlink" Target="http://www.generation-msx.nl/msxdb/softwareinfo/905" TargetMode="External" /><Relationship Id="rId217" Type="http://schemas.openxmlformats.org/officeDocument/2006/relationships/hyperlink" Target="http://www.generation-msx.nl/msxdb/softwareinfo/3232" TargetMode="External" /><Relationship Id="rId218" Type="http://schemas.openxmlformats.org/officeDocument/2006/relationships/hyperlink" Target="http://msxgamesbox.com/karoshi/index.php?PHPSESSID=2eaac1eedf2a718649c7dd63adf8ca48&amp;topic=830.0" TargetMode="External" /><Relationship Id="rId219" Type="http://schemas.openxmlformats.org/officeDocument/2006/relationships/hyperlink" Target="http://www.generation-msx.nl/msxdb/softwareinfo/620" TargetMode="External" /><Relationship Id="rId220" Type="http://schemas.openxmlformats.org/officeDocument/2006/relationships/hyperlink" Target="http://www.generation-msx.nl/msxdb/softwareinfo/1005" TargetMode="External" /><Relationship Id="rId221" Type="http://schemas.openxmlformats.org/officeDocument/2006/relationships/hyperlink" Target="http://www.generation-msx.nl/msxdb/softwareinfo/293" TargetMode="External" /><Relationship Id="rId222" Type="http://schemas.openxmlformats.org/officeDocument/2006/relationships/hyperlink" Target="http://www.generation-msx.nl/msxdb/softwareinfo/2799" TargetMode="External" /><Relationship Id="rId223" Type="http://schemas.openxmlformats.org/officeDocument/2006/relationships/hyperlink" Target="http://www.generation-msx.nl/msxdb/softwareinfo/860" TargetMode="External" /><Relationship Id="rId224" Type="http://schemas.openxmlformats.org/officeDocument/2006/relationships/hyperlink" Target="http://www.generation-msx.nl/msxdb/softwareinfo/1828" TargetMode="External" /><Relationship Id="rId225" Type="http://schemas.openxmlformats.org/officeDocument/2006/relationships/hyperlink" Target="http://www.generation-msx.nl/msxdb/softwareinfo/3260" TargetMode="External" /><Relationship Id="rId226" Type="http://schemas.openxmlformats.org/officeDocument/2006/relationships/hyperlink" Target="http://www.generation-msx.nl/msxdb/softwareinfo/2126" TargetMode="External" /><Relationship Id="rId227" Type="http://schemas.openxmlformats.org/officeDocument/2006/relationships/hyperlink" Target="http://www.generation-msx.nl/msxdb/softwareinfo/2127" TargetMode="External" /><Relationship Id="rId228" Type="http://schemas.openxmlformats.org/officeDocument/2006/relationships/hyperlink" Target="http://www.generation-msx.nl/msxdb/softwareinfo/2686" TargetMode="External" /><Relationship Id="rId229" Type="http://schemas.openxmlformats.org/officeDocument/2006/relationships/hyperlink" Target="http://www.generation-msx.nl/msxdb/softwareinfo/616" TargetMode="External" /><Relationship Id="rId230" Type="http://schemas.openxmlformats.org/officeDocument/2006/relationships/hyperlink" Target="http://www.generation-msx.nl/msxdb/softwareinfo/2385" TargetMode="External" /><Relationship Id="rId231" Type="http://schemas.openxmlformats.org/officeDocument/2006/relationships/hyperlink" Target="http://www.generation-msx.nl/msxdb/softwareinfo/2513" TargetMode="External" /><Relationship Id="rId232" Type="http://schemas.openxmlformats.org/officeDocument/2006/relationships/hyperlink" Target="http://www.generation-msx.nl/msxdb/softwareinfo/617" TargetMode="External" /><Relationship Id="rId233" Type="http://schemas.openxmlformats.org/officeDocument/2006/relationships/hyperlink" Target="http://www.generation-msx.nl/msxdb/softwareinfo/65" TargetMode="External" /><Relationship Id="rId234" Type="http://schemas.openxmlformats.org/officeDocument/2006/relationships/hyperlink" Target="http://www.generation-msx.nl/msxdb/softwareinfo/838" TargetMode="External" /><Relationship Id="rId235" Type="http://schemas.openxmlformats.org/officeDocument/2006/relationships/hyperlink" Target="http://www.generation-msx.nl/msxdb/softwareinfo/2731" TargetMode="External" /><Relationship Id="rId236" Type="http://schemas.openxmlformats.org/officeDocument/2006/relationships/hyperlink" Target="http://www.generation-msx.nl/msxdb/softwareinfo/2753" TargetMode="External" /><Relationship Id="rId237" Type="http://schemas.openxmlformats.org/officeDocument/2006/relationships/hyperlink" Target="http://www.generation-msx.nl/msxdb/softwareinfo/289" TargetMode="External" /><Relationship Id="rId238" Type="http://schemas.openxmlformats.org/officeDocument/2006/relationships/hyperlink" Target="http://www.generation-msx.nl/msxdb/softwareinfo/2237" TargetMode="External" /><Relationship Id="rId239" Type="http://schemas.openxmlformats.org/officeDocument/2006/relationships/hyperlink" Target="http://www.generation-msx.nl/msxdb/softwareinfo/2164" TargetMode="External" /><Relationship Id="rId240" Type="http://schemas.openxmlformats.org/officeDocument/2006/relationships/hyperlink" Target="http://www.generation-msx.nl/msxdb/softwareinfo/296" TargetMode="External" /><Relationship Id="rId241" Type="http://schemas.openxmlformats.org/officeDocument/2006/relationships/hyperlink" Target="http://www.generation-msx.nl/msxdb/softwareinfo/2783" TargetMode="External" /><Relationship Id="rId242" Type="http://schemas.openxmlformats.org/officeDocument/2006/relationships/hyperlink" Target="http://www.generation-msx.nl/msxdb/softwareinfo/295" TargetMode="External" /><Relationship Id="rId243" Type="http://schemas.openxmlformats.org/officeDocument/2006/relationships/hyperlink" Target="http://www.generation-msx.nl/msxdb/softwareinfo/2373" TargetMode="External" /><Relationship Id="rId244" Type="http://schemas.openxmlformats.org/officeDocument/2006/relationships/hyperlink" Target="http://www.generation-msx.nl/msxdb/softwareinfo/842" TargetMode="External" /><Relationship Id="rId245" Type="http://schemas.openxmlformats.org/officeDocument/2006/relationships/hyperlink" Target="http://www.generation-msx.nl/msxdb/softwareinfo/681" TargetMode="External" /><Relationship Id="rId246" Type="http://schemas.openxmlformats.org/officeDocument/2006/relationships/hyperlink" Target="http://www.generation-msx.nl/msxdb/softwareinfo/1008" TargetMode="External" /><Relationship Id="rId247" Type="http://schemas.openxmlformats.org/officeDocument/2006/relationships/hyperlink" Target="http://www.generation-msx.nl/msxdb/softwareinfo/3159" TargetMode="External" /><Relationship Id="rId248" Type="http://schemas.openxmlformats.org/officeDocument/2006/relationships/hyperlink" Target="http://www.generation-msx.nl/msxdb/softwareinfo/624" TargetMode="External" /><Relationship Id="rId249" Type="http://schemas.openxmlformats.org/officeDocument/2006/relationships/hyperlink" Target="http://www.generation-msx.nl/msxdb/softwareinfo/1202" TargetMode="External" /><Relationship Id="rId250" Type="http://schemas.openxmlformats.org/officeDocument/2006/relationships/hyperlink" Target="http://www.generation-msx.nl/msxdb/softwareinfo/2703" TargetMode="External" /><Relationship Id="rId251" Type="http://schemas.openxmlformats.org/officeDocument/2006/relationships/hyperlink" Target="http://www.generation-msx.nl/msxdb/softwareinfo/297" TargetMode="External" /><Relationship Id="rId252" Type="http://schemas.openxmlformats.org/officeDocument/2006/relationships/hyperlink" Target="http://www.generation-msx.nl/msxdb/softwareinfo/2209" TargetMode="External" /><Relationship Id="rId253" Type="http://schemas.openxmlformats.org/officeDocument/2006/relationships/hyperlink" Target="http://www.generation-msx.nl/msxdb/softwareinfo/3028" TargetMode="External" /><Relationship Id="rId254" Type="http://schemas.openxmlformats.org/officeDocument/2006/relationships/hyperlink" Target="http://www.generation-msx.nl/msxdb/softwareinfo/2576" TargetMode="External" /><Relationship Id="rId255" Type="http://schemas.openxmlformats.org/officeDocument/2006/relationships/hyperlink" Target="http://www.generation-msx.nl/msxdb/softwareinfo/2985" TargetMode="External" /><Relationship Id="rId256" Type="http://schemas.openxmlformats.org/officeDocument/2006/relationships/hyperlink" Target="http://www.generation-msx.nl/msxdb/softwareinfo/3174" TargetMode="External" /><Relationship Id="rId257" Type="http://schemas.openxmlformats.org/officeDocument/2006/relationships/hyperlink" Target="http://www.generation-msx.nl/msxdb/softwareinfo/2709" TargetMode="External" /><Relationship Id="rId258" Type="http://schemas.openxmlformats.org/officeDocument/2006/relationships/hyperlink" Target="http://www.generation-msx.nl/msxdb/softwareinfo/2163" TargetMode="External" /><Relationship Id="rId259" Type="http://schemas.openxmlformats.org/officeDocument/2006/relationships/hyperlink" Target="http://www.generation-msx.nl/msxdb/softwareinfo/3037" TargetMode="External" /><Relationship Id="rId260" Type="http://schemas.openxmlformats.org/officeDocument/2006/relationships/hyperlink" Target="http://www.generation-msx.nl/msxdb/softwareinfo/623" TargetMode="External" /><Relationship Id="rId261" Type="http://schemas.openxmlformats.org/officeDocument/2006/relationships/hyperlink" Target="http://www.generation-msx.nl/msxdb/softwareinfo/2511" TargetMode="External" /><Relationship Id="rId262" Type="http://schemas.openxmlformats.org/officeDocument/2006/relationships/hyperlink" Target="http://msxdev.msxblue.com/msxdev08.htm" TargetMode="External" /><Relationship Id="rId263" Type="http://schemas.openxmlformats.org/officeDocument/2006/relationships/hyperlink" Target="http://www.generation-msx.nl/msxdb/softwareinfo/2128" TargetMode="External" /><Relationship Id="rId264" Type="http://schemas.openxmlformats.org/officeDocument/2006/relationships/hyperlink" Target="http://www.generation-msx.nl/msxdb/softwareinfo/2129" TargetMode="External" /><Relationship Id="rId265" Type="http://schemas.openxmlformats.org/officeDocument/2006/relationships/hyperlink" Target="http://www.generation-msx.nl/msxdb/softwareinfo/3295" TargetMode="External" /><Relationship Id="rId266" Type="http://schemas.openxmlformats.org/officeDocument/2006/relationships/hyperlink" Target="http://www.generation-msx.nl/msxdb/softwareinfo/272" TargetMode="External" /><Relationship Id="rId267" Type="http://schemas.openxmlformats.org/officeDocument/2006/relationships/hyperlink" Target="http://www.generation-msx.nl/msxdb/softwareinfo/272" TargetMode="External" /><Relationship Id="rId268" Type="http://schemas.openxmlformats.org/officeDocument/2006/relationships/hyperlink" Target="http://www.generation-msx.nl/msxdb/softwareinfo/272" TargetMode="External" /><Relationship Id="rId269" Type="http://schemas.openxmlformats.org/officeDocument/2006/relationships/hyperlink" Target="http://www.generation-msx.nl/msxdb/softwareinfo/272" TargetMode="External" /><Relationship Id="rId270" Type="http://schemas.openxmlformats.org/officeDocument/2006/relationships/hyperlink" Target="http://www.generation-msx.nl/msxdb/softwareinfo/272" TargetMode="External" /><Relationship Id="rId271" Type="http://schemas.openxmlformats.org/officeDocument/2006/relationships/hyperlink" Target="http://www.generation-msx.nl/msxdb/softwareinfo/272" TargetMode="External" /><Relationship Id="rId272" Type="http://schemas.openxmlformats.org/officeDocument/2006/relationships/hyperlink" Target="http://www.generation-msx.nl/msxdb/softwareinfo/272" TargetMode="External" /><Relationship Id="rId273" Type="http://schemas.openxmlformats.org/officeDocument/2006/relationships/hyperlink" Target="http://www.generation-msx.nl/msxdb/softwareinfo/272" TargetMode="External" /><Relationship Id="rId274" Type="http://schemas.openxmlformats.org/officeDocument/2006/relationships/hyperlink" Target="http://www.generation-msx.nl/msxdb/softwareinfo/272" TargetMode="External" /><Relationship Id="rId275" Type="http://schemas.openxmlformats.org/officeDocument/2006/relationships/hyperlink" Target="http://www.generation-msx.nl/msxdb/softwareinfo/272" TargetMode="External" /><Relationship Id="rId276" Type="http://schemas.openxmlformats.org/officeDocument/2006/relationships/hyperlink" Target="http://www.generation-msx.nl/msxdb/softwareinfo/272" TargetMode="External" /><Relationship Id="rId277" Type="http://schemas.openxmlformats.org/officeDocument/2006/relationships/hyperlink" Target="http://www.generation-msx.nl/msxdb/softwareinfo/272" TargetMode="External" /><Relationship Id="rId278" Type="http://schemas.openxmlformats.org/officeDocument/2006/relationships/hyperlink" Target="http://www.generation-msx.nl/msxdb/softwareinfo/272" TargetMode="External" /><Relationship Id="rId279" Type="http://schemas.openxmlformats.org/officeDocument/2006/relationships/hyperlink" Target="http://www.generation-msx.nl/msxdb/softwareinfo/272" TargetMode="External" /><Relationship Id="rId280" Type="http://schemas.openxmlformats.org/officeDocument/2006/relationships/hyperlink" Target="http://www.generation-msx.nl/msxdb/softwareinfo/272" TargetMode="External" /><Relationship Id="rId281" Type="http://schemas.openxmlformats.org/officeDocument/2006/relationships/hyperlink" Target="http://www.generation-msx.nl/msxdb/softwareinfo/272" TargetMode="External" /><Relationship Id="rId282" Type="http://schemas.openxmlformats.org/officeDocument/2006/relationships/hyperlink" Target="http://www.generation-msx.nl/msxdb/softwareinfo/272" TargetMode="External" /><Relationship Id="rId283" Type="http://schemas.openxmlformats.org/officeDocument/2006/relationships/hyperlink" Target="http://www.generation-msx.nl/msxdb/softwareinfo/272" TargetMode="External" /><Relationship Id="rId284" Type="http://schemas.openxmlformats.org/officeDocument/2006/relationships/hyperlink" Target="http://www.generation-msx.nl/msxdb/softwareinfo/272" TargetMode="External" /><Relationship Id="rId285" Type="http://schemas.openxmlformats.org/officeDocument/2006/relationships/hyperlink" Target="http://www.generation-msx.nl/msxdb/softwareinfo/272" TargetMode="External" /><Relationship Id="rId286" Type="http://schemas.openxmlformats.org/officeDocument/2006/relationships/hyperlink" Target="http://www.generation-msx.nl/msxdb/softwareinfo/272" TargetMode="External" /><Relationship Id="rId287" Type="http://schemas.openxmlformats.org/officeDocument/2006/relationships/hyperlink" Target="http://www.generation-msx.nl/msxdb/softwareinfo/272" TargetMode="External" /><Relationship Id="rId288" Type="http://schemas.openxmlformats.org/officeDocument/2006/relationships/hyperlink" Target="http://www.generation-msx.nl/msxdb/softwareinfo/272" TargetMode="External" /><Relationship Id="rId289" Type="http://schemas.openxmlformats.org/officeDocument/2006/relationships/hyperlink" Target="http://www.generation-msx.nl/msxdb/softwareinfo/272" TargetMode="External" /><Relationship Id="rId290" Type="http://schemas.openxmlformats.org/officeDocument/2006/relationships/hyperlink" Target="http://www.generation-msx.nl/msxdb/softwareinfo/272" TargetMode="External" /><Relationship Id="rId291" Type="http://schemas.openxmlformats.org/officeDocument/2006/relationships/hyperlink" Target="http://www.generation-msx.nl/msxdb/softwareinfo/272" TargetMode="External" /><Relationship Id="rId292" Type="http://schemas.openxmlformats.org/officeDocument/2006/relationships/hyperlink" Target="http://www.generation-msx.nl/msxdb/softwareinfo/272" TargetMode="External" /><Relationship Id="rId293" Type="http://schemas.openxmlformats.org/officeDocument/2006/relationships/hyperlink" Target="http://www.generation-msx.nl/msxdb/softwareinfo/272" TargetMode="External" /><Relationship Id="rId294" Type="http://schemas.openxmlformats.org/officeDocument/2006/relationships/hyperlink" Target="http://www.generation-msx.nl/msxdb/softwareinfo/272" TargetMode="External" /><Relationship Id="rId295" Type="http://schemas.openxmlformats.org/officeDocument/2006/relationships/hyperlink" Target="http://www.generation-msx.nl/msxdb/softwareinfo/272" TargetMode="External" /><Relationship Id="rId296" Type="http://schemas.openxmlformats.org/officeDocument/2006/relationships/hyperlink" Target="http://www.generation-msx.nl/msxdb/softwareinfo/272" TargetMode="External" /><Relationship Id="rId297" Type="http://schemas.openxmlformats.org/officeDocument/2006/relationships/hyperlink" Target="http://www.generation-msx.nl/msxdb/softwareinfo/272" TargetMode="External" /><Relationship Id="rId298" Type="http://schemas.openxmlformats.org/officeDocument/2006/relationships/hyperlink" Target="http://www.generation-msx.nl/msxdb/softwareinfo/272" TargetMode="External" /><Relationship Id="rId299" Type="http://schemas.openxmlformats.org/officeDocument/2006/relationships/hyperlink" Target="http://www.generation-msx.nl/msxdb/softwareinfo/272" TargetMode="External" /><Relationship Id="rId300" Type="http://schemas.openxmlformats.org/officeDocument/2006/relationships/hyperlink" Target="http://www.generation-msx.nl/msxdb/softwareinfo/272" TargetMode="External" /><Relationship Id="rId301" Type="http://schemas.openxmlformats.org/officeDocument/2006/relationships/hyperlink" Target="http://www.generation-msx.nl/msxdb/softwareinfo/27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15"/>
  <sheetViews>
    <sheetView tabSelected="1" zoomScale="120" zoomScaleNormal="120" workbookViewId="0" topLeftCell="A1">
      <selection activeCell="D807" sqref="D807"/>
    </sheetView>
  </sheetViews>
  <sheetFormatPr defaultColWidth="11.421875" defaultRowHeight="12.75"/>
  <cols>
    <col min="1" max="1" width="38.421875" style="1" customWidth="1"/>
    <col min="2" max="2" width="10.421875" style="2" customWidth="1"/>
    <col min="3" max="3" width="8.57421875" style="2" customWidth="1"/>
    <col min="4" max="4" width="29.8515625" style="2" customWidth="1"/>
    <col min="5" max="5" width="21.7109375" style="3" customWidth="1"/>
    <col min="6" max="6" width="20.140625" style="3" customWidth="1"/>
    <col min="7" max="7" width="11.421875" style="2" customWidth="1"/>
  </cols>
  <sheetData>
    <row r="1" spans="1:7" s="7" customFormat="1" ht="23.25" customHeight="1">
      <c r="A1" s="4" t="s">
        <v>0</v>
      </c>
      <c r="B1" s="5" t="s">
        <v>1</v>
      </c>
      <c r="C1" s="4" t="s">
        <v>2</v>
      </c>
      <c r="D1" s="4" t="s">
        <v>3</v>
      </c>
      <c r="E1" s="6" t="s">
        <v>4</v>
      </c>
      <c r="F1" s="6" t="s">
        <v>5</v>
      </c>
      <c r="G1" s="6" t="s">
        <v>6</v>
      </c>
    </row>
    <row r="2" spans="1:7" ht="12.75">
      <c r="A2" s="8" t="s">
        <v>7</v>
      </c>
      <c r="B2" s="9" t="str">
        <f>HYPERLINK("http://www.generation-msx.nl/msxdb/softwareinfo/371"," Lien")</f>
        <v> Lien</v>
      </c>
      <c r="C2" s="9">
        <v>1986</v>
      </c>
      <c r="D2" s="9" t="s">
        <v>8</v>
      </c>
      <c r="E2" s="10" t="s">
        <v>9</v>
      </c>
      <c r="F2" s="10" t="s">
        <v>10</v>
      </c>
      <c r="G2" s="9" t="s">
        <v>11</v>
      </c>
    </row>
    <row r="3" spans="1:7" ht="12.75">
      <c r="A3" s="11" t="s">
        <v>12</v>
      </c>
      <c r="B3" s="9" t="str">
        <f>HYPERLINK("http://www.generation-msx.nl/msxdb/softwareinfo/2820"," Lien")</f>
        <v> Lien</v>
      </c>
      <c r="C3" s="9">
        <v>1987</v>
      </c>
      <c r="D3" s="9" t="s">
        <v>8</v>
      </c>
      <c r="E3" s="10" t="s">
        <v>9</v>
      </c>
      <c r="F3" s="10" t="s">
        <v>10</v>
      </c>
      <c r="G3" s="9" t="s">
        <v>11</v>
      </c>
    </row>
    <row r="4" spans="1:7" ht="12.75">
      <c r="A4" s="11" t="s">
        <v>13</v>
      </c>
      <c r="B4" s="9" t="str">
        <f>HYPERLINK("http://www.generation-msx.nl/msxdb/softwareinfo/3371"," Lien")</f>
        <v> Lien</v>
      </c>
      <c r="C4" s="9">
        <v>1985</v>
      </c>
      <c r="D4" s="9" t="s">
        <v>14</v>
      </c>
      <c r="E4" s="10" t="s">
        <v>9</v>
      </c>
      <c r="F4" s="10" t="s">
        <v>10</v>
      </c>
      <c r="G4" s="9" t="s">
        <v>11</v>
      </c>
    </row>
    <row r="5" spans="1:7" ht="12.75">
      <c r="A5" s="12" t="s">
        <v>15</v>
      </c>
      <c r="B5" s="13" t="str">
        <f>HYPERLINK("http://www.generation-msx.nl/msxdb/softwareinfo/2843"," Lien")</f>
        <v> Lien</v>
      </c>
      <c r="C5" s="13">
        <v>1986</v>
      </c>
      <c r="D5" s="13" t="s">
        <v>16</v>
      </c>
      <c r="E5" s="14" t="s">
        <v>17</v>
      </c>
      <c r="F5" s="14" t="s">
        <v>10</v>
      </c>
      <c r="G5" s="13" t="s">
        <v>18</v>
      </c>
    </row>
    <row r="6" spans="1:7" ht="12.75">
      <c r="A6" s="15" t="s">
        <v>19</v>
      </c>
      <c r="B6" s="13" t="str">
        <f>HYPERLINK("http://www.generation-msx.nl/msxdb/softwareinfo/801"," Lien")</f>
        <v> Lien</v>
      </c>
      <c r="C6" s="13">
        <v>1986</v>
      </c>
      <c r="D6" s="13" t="s">
        <v>20</v>
      </c>
      <c r="E6" s="14" t="s">
        <v>17</v>
      </c>
      <c r="F6" s="14" t="s">
        <v>21</v>
      </c>
      <c r="G6" s="13" t="s">
        <v>18</v>
      </c>
    </row>
    <row r="7" spans="1:7" ht="12.75">
      <c r="A7" s="15" t="s">
        <v>22</v>
      </c>
      <c r="B7" s="13" t="str">
        <f>HYPERLINK("http://www.generation-msx.nl/msxdb/softwareinfo/706"," Lien")</f>
        <v> Lien</v>
      </c>
      <c r="C7" s="13">
        <v>1986</v>
      </c>
      <c r="D7" s="13" t="s">
        <v>23</v>
      </c>
      <c r="E7" s="14" t="s">
        <v>24</v>
      </c>
      <c r="F7" s="14" t="s">
        <v>21</v>
      </c>
      <c r="G7" s="13" t="s">
        <v>18</v>
      </c>
    </row>
    <row r="8" spans="1:7" ht="12.75">
      <c r="A8" s="11" t="s">
        <v>25</v>
      </c>
      <c r="B8" s="9" t="str">
        <f>HYPERLINK("http://www.generation-msx.nl/msxdb/softwareinfo/169"," Lien")</f>
        <v> Lien</v>
      </c>
      <c r="C8" s="9">
        <v>1987</v>
      </c>
      <c r="D8" s="9" t="s">
        <v>26</v>
      </c>
      <c r="E8" s="10" t="s">
        <v>9</v>
      </c>
      <c r="F8" s="10" t="s">
        <v>27</v>
      </c>
      <c r="G8" s="9" t="s">
        <v>11</v>
      </c>
    </row>
    <row r="9" spans="1:7" ht="12.75">
      <c r="A9" s="16" t="s">
        <v>28</v>
      </c>
      <c r="B9" s="9" t="str">
        <f>HYPERLINK("http://www.generation-msx.nl/msxdb/softwareinfo/196"," Lien")</f>
        <v> Lien</v>
      </c>
      <c r="C9" s="9">
        <v>1984</v>
      </c>
      <c r="D9" s="9" t="s">
        <v>29</v>
      </c>
      <c r="E9" s="10" t="s">
        <v>17</v>
      </c>
      <c r="F9" s="10" t="s">
        <v>21</v>
      </c>
      <c r="G9" s="9" t="s">
        <v>11</v>
      </c>
    </row>
    <row r="10" spans="1:7" ht="12.75">
      <c r="A10" s="16" t="s">
        <v>30</v>
      </c>
      <c r="B10" s="9" t="str">
        <f>HYPERLINK("http://www.generation-msx.nl/msxdb/softwareinfo/44"," Lien")</f>
        <v> Lien</v>
      </c>
      <c r="C10" s="9">
        <v>1983</v>
      </c>
      <c r="D10" s="9" t="s">
        <v>29</v>
      </c>
      <c r="E10" s="10" t="s">
        <v>17</v>
      </c>
      <c r="F10" s="10" t="s">
        <v>21</v>
      </c>
      <c r="G10" s="9" t="s">
        <v>11</v>
      </c>
    </row>
    <row r="11" spans="1:7" ht="12.75">
      <c r="A11" s="17" t="s">
        <v>31</v>
      </c>
      <c r="B11" s="18" t="str">
        <f>HYPERLINK("http://www.generation-msx.nl/msxdb/softwareinfo/2415"," Lien")</f>
        <v> Lien</v>
      </c>
      <c r="C11" s="18">
        <v>1985</v>
      </c>
      <c r="D11" s="18" t="s">
        <v>32</v>
      </c>
      <c r="E11" s="19" t="s">
        <v>17</v>
      </c>
      <c r="F11" s="19" t="s">
        <v>10</v>
      </c>
      <c r="G11" s="18" t="s">
        <v>11</v>
      </c>
    </row>
    <row r="12" spans="1:7" ht="12.75">
      <c r="A12" s="16" t="s">
        <v>33</v>
      </c>
      <c r="B12" s="9" t="str">
        <f>HYPERLINK("http://www.generation-msx.nl/msxdb/softwareinfo/45"," Lien")</f>
        <v> Lien</v>
      </c>
      <c r="C12" s="9">
        <v>1983</v>
      </c>
      <c r="D12" s="9" t="s">
        <v>23</v>
      </c>
      <c r="E12" s="10" t="s">
        <v>17</v>
      </c>
      <c r="F12" s="10" t="s">
        <v>21</v>
      </c>
      <c r="G12" s="9" t="s">
        <v>11</v>
      </c>
    </row>
    <row r="13" spans="1:7" ht="12.75">
      <c r="A13" s="16" t="s">
        <v>34</v>
      </c>
      <c r="B13" s="9" t="str">
        <f>HYPERLINK("http://www.generation-msx.nl/msxdb/softwareinfo/195"," Lien")</f>
        <v> Lien</v>
      </c>
      <c r="C13" s="9">
        <v>1984</v>
      </c>
      <c r="D13" s="9" t="s">
        <v>35</v>
      </c>
      <c r="E13" s="10" t="s">
        <v>9</v>
      </c>
      <c r="F13" s="10" t="s">
        <v>27</v>
      </c>
      <c r="G13" s="9" t="s">
        <v>11</v>
      </c>
    </row>
    <row r="14" spans="1:7" ht="12.75">
      <c r="A14" s="11" t="s">
        <v>36</v>
      </c>
      <c r="B14" s="9" t="str">
        <f>HYPERLINK("http://www.generation-msx.nl/msxdb/softwareinfo/2776"," Lien")</f>
        <v> Lien</v>
      </c>
      <c r="C14" s="9">
        <v>1987</v>
      </c>
      <c r="D14" s="9" t="s">
        <v>37</v>
      </c>
      <c r="E14" s="10" t="s">
        <v>9</v>
      </c>
      <c r="F14" s="10" t="s">
        <v>10</v>
      </c>
      <c r="G14" s="9" t="s">
        <v>11</v>
      </c>
    </row>
    <row r="15" spans="1:7" ht="12.75">
      <c r="A15" s="12" t="s">
        <v>38</v>
      </c>
      <c r="B15" s="13" t="str">
        <f>HYPERLINK("http://www.generation-msx.nl/msxdb/softwareinfo/3327"," Lien")</f>
        <v> Lien</v>
      </c>
      <c r="C15" s="13">
        <v>1986</v>
      </c>
      <c r="D15" s="13" t="s">
        <v>39</v>
      </c>
      <c r="E15" s="14" t="s">
        <v>40</v>
      </c>
      <c r="F15" s="14" t="s">
        <v>10</v>
      </c>
      <c r="G15" s="13" t="s">
        <v>18</v>
      </c>
    </row>
    <row r="16" spans="1:7" ht="12.75">
      <c r="A16" s="12" t="s">
        <v>41</v>
      </c>
      <c r="B16" s="13" t="str">
        <f>HYPERLINK("http://www.generation-msx.nl/msxdb/softwareinfo/2744"," Lien")</f>
        <v> Lien</v>
      </c>
      <c r="C16" s="13">
        <v>1984</v>
      </c>
      <c r="D16" s="13" t="s">
        <v>42</v>
      </c>
      <c r="E16" s="14" t="s">
        <v>43</v>
      </c>
      <c r="F16" s="14" t="s">
        <v>10</v>
      </c>
      <c r="G16" s="13" t="s">
        <v>18</v>
      </c>
    </row>
    <row r="17" spans="1:7" ht="12.75">
      <c r="A17" s="12" t="s">
        <v>44</v>
      </c>
      <c r="B17" s="13" t="str">
        <f>HYPERLINK("http://www.generation-msx.nl/msxdb/softwareinfo/3048"," Lien")</f>
        <v> Lien</v>
      </c>
      <c r="C17" s="13">
        <v>1988</v>
      </c>
      <c r="D17" s="20" t="s">
        <v>45</v>
      </c>
      <c r="E17" s="14" t="s">
        <v>43</v>
      </c>
      <c r="F17" s="14" t="s">
        <v>10</v>
      </c>
      <c r="G17" s="13" t="s">
        <v>18</v>
      </c>
    </row>
    <row r="18" spans="1:7" ht="12.75">
      <c r="A18" s="21" t="s">
        <v>46</v>
      </c>
      <c r="B18" s="22"/>
      <c r="C18" s="9">
        <v>1990</v>
      </c>
      <c r="D18" s="9" t="s">
        <v>47</v>
      </c>
      <c r="E18" s="10" t="s">
        <v>24</v>
      </c>
      <c r="F18" s="10" t="s">
        <v>48</v>
      </c>
      <c r="G18" s="9" t="s">
        <v>11</v>
      </c>
    </row>
    <row r="19" spans="1:7" ht="12.75">
      <c r="A19" s="16" t="s">
        <v>49</v>
      </c>
      <c r="B19" s="9" t="str">
        <f>HYPERLINK("http://www.generation-msx.nl/msxdb/softwareinfo/963"," Lien")</f>
        <v> Lien</v>
      </c>
      <c r="C19" s="9">
        <v>1987</v>
      </c>
      <c r="D19" s="9" t="s">
        <v>50</v>
      </c>
      <c r="E19" s="10" t="s">
        <v>51</v>
      </c>
      <c r="F19" s="10" t="s">
        <v>52</v>
      </c>
      <c r="G19" s="9" t="s">
        <v>11</v>
      </c>
    </row>
    <row r="20" spans="1:7" ht="12.75">
      <c r="A20" s="11" t="s">
        <v>53</v>
      </c>
      <c r="B20" s="9" t="str">
        <f>HYPERLINK("http:/www.konamito.com/ficha/?id=1394"," Lien")</f>
        <v> Lien</v>
      </c>
      <c r="C20" s="9">
        <v>1988</v>
      </c>
      <c r="D20" s="9" t="s">
        <v>54</v>
      </c>
      <c r="E20" s="10" t="s">
        <v>55</v>
      </c>
      <c r="F20" s="10" t="s">
        <v>48</v>
      </c>
      <c r="G20" s="9" t="s">
        <v>11</v>
      </c>
    </row>
    <row r="21" spans="1:7" ht="12.75">
      <c r="A21" s="11" t="s">
        <v>56</v>
      </c>
      <c r="B21" s="9" t="str">
        <f>HYPERLINK("http://www.generation-msx.nl/msxdb/softwareinfo/2329"," Lien")</f>
        <v> Lien</v>
      </c>
      <c r="C21" s="9">
        <v>1988</v>
      </c>
      <c r="D21" s="9" t="s">
        <v>57</v>
      </c>
      <c r="E21" s="10" t="s">
        <v>58</v>
      </c>
      <c r="F21" s="10" t="s">
        <v>10</v>
      </c>
      <c r="G21" s="9" t="s">
        <v>11</v>
      </c>
    </row>
    <row r="22" spans="1:7" ht="12.75">
      <c r="A22" s="15" t="s">
        <v>59</v>
      </c>
      <c r="B22" s="13" t="str">
        <f>HYPERLINK("http://www.generation-msx.nl/msxdb/softwareinfo/105"," Lien")</f>
        <v> Lien</v>
      </c>
      <c r="C22" s="13">
        <v>1983</v>
      </c>
      <c r="D22" s="13" t="s">
        <v>60</v>
      </c>
      <c r="E22" s="14" t="s">
        <v>24</v>
      </c>
      <c r="F22" s="14" t="s">
        <v>21</v>
      </c>
      <c r="G22" s="13" t="s">
        <v>18</v>
      </c>
    </row>
    <row r="23" spans="1:7" ht="12.75">
      <c r="A23" s="15" t="s">
        <v>61</v>
      </c>
      <c r="B23" s="13" t="str">
        <f>HYPERLINK("http://www.generation-msx.nl/msxdb/softwareinfo/1846"," Lien")</f>
        <v> Lien</v>
      </c>
      <c r="C23" s="13">
        <v>1987</v>
      </c>
      <c r="D23" s="13" t="s">
        <v>62</v>
      </c>
      <c r="E23" s="14" t="s">
        <v>17</v>
      </c>
      <c r="F23" s="14" t="s">
        <v>21</v>
      </c>
      <c r="G23" s="13" t="s">
        <v>18</v>
      </c>
    </row>
    <row r="24" spans="1:7" ht="12.75">
      <c r="A24" s="11" t="s">
        <v>63</v>
      </c>
      <c r="B24" s="9" t="str">
        <f>HYPERLINK("http://www.generation-msx.nl/msxdb/softwareinfo/3346"," Lien")</f>
        <v> Lien</v>
      </c>
      <c r="C24" s="9">
        <v>1989</v>
      </c>
      <c r="D24" s="9" t="s">
        <v>64</v>
      </c>
      <c r="E24" s="10" t="s">
        <v>58</v>
      </c>
      <c r="F24" s="10" t="s">
        <v>10</v>
      </c>
      <c r="G24" s="9" t="s">
        <v>11</v>
      </c>
    </row>
    <row r="25" spans="1:7" ht="12.75">
      <c r="A25" s="11" t="s">
        <v>65</v>
      </c>
      <c r="B25" s="9" t="str">
        <f>HYPERLINK("http://www.generation-msx.nl/msxdb/softwareinfo/2051"," Lien")</f>
        <v> Lien</v>
      </c>
      <c r="C25" s="9">
        <v>1987</v>
      </c>
      <c r="D25" s="9" t="s">
        <v>66</v>
      </c>
      <c r="E25" s="10" t="s">
        <v>67</v>
      </c>
      <c r="F25" s="10" t="s">
        <v>10</v>
      </c>
      <c r="G25" s="9" t="s">
        <v>11</v>
      </c>
    </row>
    <row r="26" spans="1:7" ht="12.75">
      <c r="A26" s="12" t="s">
        <v>68</v>
      </c>
      <c r="B26" s="13" t="str">
        <f>HYPERLINK("http://www.generation-msx.nl/msxdb/softwareinfo/2241"," Lien")</f>
        <v> Lien</v>
      </c>
      <c r="C26" s="13">
        <v>1988</v>
      </c>
      <c r="D26" s="13" t="s">
        <v>69</v>
      </c>
      <c r="E26" s="14" t="s">
        <v>9</v>
      </c>
      <c r="F26" s="14" t="s">
        <v>10</v>
      </c>
      <c r="G26" s="13" t="s">
        <v>18</v>
      </c>
    </row>
    <row r="27" spans="1:7" ht="12.75">
      <c r="A27" s="11" t="s">
        <v>70</v>
      </c>
      <c r="B27" s="9" t="str">
        <f>HYPERLINK("http://www.generation-msx.nl/msxdb/softwareinfo/2285"," Lien")</f>
        <v> Lien</v>
      </c>
      <c r="C27" s="9">
        <v>1988</v>
      </c>
      <c r="D27" s="9" t="s">
        <v>71</v>
      </c>
      <c r="E27" s="10" t="s">
        <v>55</v>
      </c>
      <c r="F27" s="10" t="s">
        <v>10</v>
      </c>
      <c r="G27" s="9" t="s">
        <v>11</v>
      </c>
    </row>
    <row r="28" spans="1:7" ht="12.75">
      <c r="A28" s="12" t="s">
        <v>72</v>
      </c>
      <c r="B28" s="13" t="str">
        <f>HYPERLINK("http://www.generation-msx.nl/msxdb/softwareinfo/2107"," Lien")</f>
        <v> Lien</v>
      </c>
      <c r="C28" s="13">
        <v>1986</v>
      </c>
      <c r="D28" s="13" t="s">
        <v>73</v>
      </c>
      <c r="E28" s="14" t="s">
        <v>51</v>
      </c>
      <c r="F28" s="14" t="s">
        <v>10</v>
      </c>
      <c r="G28" s="13" t="s">
        <v>18</v>
      </c>
    </row>
    <row r="29" spans="1:7" ht="12.75">
      <c r="A29" s="12" t="s">
        <v>74</v>
      </c>
      <c r="B29" s="13" t="str">
        <f>HYPERLINK("http://www.generation-msx.nl/msxdb/softwareinfo/2974"," Lien")</f>
        <v> Lien</v>
      </c>
      <c r="C29" s="13">
        <v>1986</v>
      </c>
      <c r="D29" s="13" t="s">
        <v>16</v>
      </c>
      <c r="E29" s="14" t="s">
        <v>43</v>
      </c>
      <c r="F29" s="14" t="s">
        <v>10</v>
      </c>
      <c r="G29" s="13" t="s">
        <v>18</v>
      </c>
    </row>
    <row r="30" spans="1:7" ht="12.75">
      <c r="A30" s="21" t="s">
        <v>75</v>
      </c>
      <c r="B30" s="22"/>
      <c r="C30" s="9">
        <v>1987</v>
      </c>
      <c r="D30" s="9" t="s">
        <v>76</v>
      </c>
      <c r="E30" s="10" t="s">
        <v>9</v>
      </c>
      <c r="F30" s="10" t="s">
        <v>10</v>
      </c>
      <c r="G30" s="9" t="s">
        <v>11</v>
      </c>
    </row>
    <row r="31" spans="1:7" ht="12.75">
      <c r="A31" s="23" t="s">
        <v>77</v>
      </c>
      <c r="B31" s="24"/>
      <c r="C31" s="13">
        <v>2002</v>
      </c>
      <c r="D31" s="13" t="s">
        <v>78</v>
      </c>
      <c r="E31" s="14" t="s">
        <v>79</v>
      </c>
      <c r="F31" s="14" t="s">
        <v>21</v>
      </c>
      <c r="G31" s="13" t="s">
        <v>18</v>
      </c>
    </row>
    <row r="32" spans="1:7" ht="12.75">
      <c r="A32" s="16" t="s">
        <v>80</v>
      </c>
      <c r="B32" s="9" t="str">
        <f>HYPERLINK("http://www.generation-msx.nl/msxdb/softwareinfo/368"," Lien")</f>
        <v> Lien</v>
      </c>
      <c r="C32" s="9">
        <v>1984</v>
      </c>
      <c r="D32" s="9" t="s">
        <v>81</v>
      </c>
      <c r="E32" s="10" t="s">
        <v>9</v>
      </c>
      <c r="F32" s="10" t="s">
        <v>21</v>
      </c>
      <c r="G32" s="9" t="s">
        <v>11</v>
      </c>
    </row>
    <row r="33" spans="1:7" ht="12.75">
      <c r="A33" s="12" t="s">
        <v>82</v>
      </c>
      <c r="B33" s="13" t="str">
        <f>HYPERLINK("http://www.generation-msx.nl/msxdb/softwareinfo/2868"," Lien")</f>
        <v> Lien</v>
      </c>
      <c r="C33" s="13">
        <v>1987</v>
      </c>
      <c r="D33" s="13" t="s">
        <v>32</v>
      </c>
      <c r="E33" s="14" t="s">
        <v>83</v>
      </c>
      <c r="F33" s="14" t="s">
        <v>10</v>
      </c>
      <c r="G33" s="13" t="s">
        <v>18</v>
      </c>
    </row>
    <row r="34" spans="1:7" ht="12.75">
      <c r="A34" s="11" t="s">
        <v>84</v>
      </c>
      <c r="B34" s="9" t="str">
        <f>HYPERLINK("http://www.generation-msx.nl/msxdb/softwareinfo/2231"," Lien")</f>
        <v> Lien</v>
      </c>
      <c r="C34" s="9">
        <v>1986</v>
      </c>
      <c r="D34" s="9" t="s">
        <v>85</v>
      </c>
      <c r="E34" s="10" t="s">
        <v>51</v>
      </c>
      <c r="F34" s="10" t="s">
        <v>10</v>
      </c>
      <c r="G34" s="9" t="s">
        <v>11</v>
      </c>
    </row>
    <row r="35" spans="1:7" ht="12.75">
      <c r="A35" s="11" t="s">
        <v>86</v>
      </c>
      <c r="B35" s="9" t="str">
        <f>HYPERLINK("http://www.generation-msx.nl/msxdb/softwareinfo/3457"," Lien")</f>
        <v> Lien</v>
      </c>
      <c r="C35" s="9">
        <v>1988</v>
      </c>
      <c r="D35" s="9" t="s">
        <v>87</v>
      </c>
      <c r="E35" s="10" t="s">
        <v>24</v>
      </c>
      <c r="F35" s="10" t="s">
        <v>48</v>
      </c>
      <c r="G35" s="9" t="s">
        <v>11</v>
      </c>
    </row>
    <row r="36" spans="1:7" ht="12.75">
      <c r="A36" s="11" t="s">
        <v>88</v>
      </c>
      <c r="B36" s="9" t="str">
        <f>HYPERLINK("http://www.generation-msx.nl/msxdb/softwareinfo/5"," Lien")</f>
        <v> Lien</v>
      </c>
      <c r="C36" s="9">
        <v>1983</v>
      </c>
      <c r="D36" s="9" t="s">
        <v>89</v>
      </c>
      <c r="E36" s="10" t="s">
        <v>9</v>
      </c>
      <c r="F36" s="10" t="s">
        <v>21</v>
      </c>
      <c r="G36" s="9" t="s">
        <v>11</v>
      </c>
    </row>
    <row r="37" spans="1:7" ht="12.75">
      <c r="A37" s="11" t="s">
        <v>90</v>
      </c>
      <c r="B37" s="9" t="str">
        <f>HYPERLINK("http://www.generation-msx.nl/msxdb/softwareinfo/2275"," Lien")</f>
        <v> Lien</v>
      </c>
      <c r="C37" s="9">
        <v>1990</v>
      </c>
      <c r="D37" s="9" t="s">
        <v>91</v>
      </c>
      <c r="E37" s="10" t="s">
        <v>17</v>
      </c>
      <c r="F37" s="10" t="s">
        <v>10</v>
      </c>
      <c r="G37" s="9" t="s">
        <v>11</v>
      </c>
    </row>
    <row r="38" spans="1:7" ht="12.75">
      <c r="A38" s="11" t="s">
        <v>92</v>
      </c>
      <c r="B38" s="9" t="str">
        <f>HYPERLINK("http://www.generation-msx.nl/msxdb/softwareinfo/2661"," Lien")</f>
        <v> Lien</v>
      </c>
      <c r="C38" s="9">
        <v>1988</v>
      </c>
      <c r="D38" s="9" t="s">
        <v>93</v>
      </c>
      <c r="E38" s="10" t="s">
        <v>24</v>
      </c>
      <c r="F38" s="10" t="s">
        <v>10</v>
      </c>
      <c r="G38" s="9" t="s">
        <v>11</v>
      </c>
    </row>
    <row r="39" spans="1:7" ht="12.75">
      <c r="A39" s="11" t="s">
        <v>94</v>
      </c>
      <c r="B39" s="9" t="str">
        <f>HYPERLINK("http://www.generation-msx.nl/msxdb/softwareinfo/2108"," Lien")</f>
        <v> Lien</v>
      </c>
      <c r="C39" s="9">
        <v>1989</v>
      </c>
      <c r="D39" s="9" t="s">
        <v>73</v>
      </c>
      <c r="E39" s="10" t="s">
        <v>58</v>
      </c>
      <c r="F39" s="10" t="s">
        <v>10</v>
      </c>
      <c r="G39" s="9" t="s">
        <v>11</v>
      </c>
    </row>
    <row r="40" spans="1:7" ht="12.75">
      <c r="A40" s="12" t="s">
        <v>95</v>
      </c>
      <c r="B40" s="13" t="str">
        <f>HYPERLINK("http://www.generation-msx.nl/msxdb/softwareinfo/2221"," Lien")</f>
        <v> Lien</v>
      </c>
      <c r="C40" s="13">
        <v>1988</v>
      </c>
      <c r="D40" s="13" t="s">
        <v>96</v>
      </c>
      <c r="E40" s="14" t="s">
        <v>58</v>
      </c>
      <c r="F40" s="14" t="s">
        <v>10</v>
      </c>
      <c r="G40" s="13" t="s">
        <v>18</v>
      </c>
    </row>
    <row r="41" spans="1:7" ht="12.75">
      <c r="A41" s="11" t="s">
        <v>97</v>
      </c>
      <c r="B41" s="9" t="str">
        <f>HYPERLINK("http://www.generation-msx.nl/msxdb/softwareinfo/2217"," Lien")</f>
        <v> Lien</v>
      </c>
      <c r="C41" s="9">
        <v>1986</v>
      </c>
      <c r="D41" s="9" t="s">
        <v>98</v>
      </c>
      <c r="E41" s="10" t="s">
        <v>17</v>
      </c>
      <c r="F41" s="10" t="s">
        <v>10</v>
      </c>
      <c r="G41" s="9" t="s">
        <v>11</v>
      </c>
    </row>
    <row r="42" spans="1:7" ht="12.75">
      <c r="A42" s="11" t="s">
        <v>99</v>
      </c>
      <c r="B42" s="9" t="str">
        <f>HYPERLINK("http://www.konamito.com/ficha/?id=1487"," Lien")</f>
        <v> Lien</v>
      </c>
      <c r="C42" s="9">
        <v>1986</v>
      </c>
      <c r="D42" s="9" t="s">
        <v>100</v>
      </c>
      <c r="E42" s="10" t="s">
        <v>24</v>
      </c>
      <c r="F42" s="10" t="s">
        <v>48</v>
      </c>
      <c r="G42" s="9" t="s">
        <v>11</v>
      </c>
    </row>
    <row r="43" spans="1:7" ht="12.75">
      <c r="A43" s="21" t="s">
        <v>101</v>
      </c>
      <c r="B43" s="22"/>
      <c r="C43" s="9" t="s">
        <v>102</v>
      </c>
      <c r="D43" s="9" t="s">
        <v>103</v>
      </c>
      <c r="E43" s="10" t="s">
        <v>9</v>
      </c>
      <c r="F43" s="10" t="s">
        <v>48</v>
      </c>
      <c r="G43" s="9" t="s">
        <v>11</v>
      </c>
    </row>
    <row r="44" spans="1:7" ht="12.75">
      <c r="A44" s="21" t="s">
        <v>104</v>
      </c>
      <c r="B44" s="22"/>
      <c r="C44" s="9">
        <v>1986</v>
      </c>
      <c r="D44" s="9" t="s">
        <v>105</v>
      </c>
      <c r="E44" s="10" t="s">
        <v>43</v>
      </c>
      <c r="F44" s="10" t="s">
        <v>48</v>
      </c>
      <c r="G44" s="9" t="s">
        <v>11</v>
      </c>
    </row>
    <row r="45" spans="1:7" ht="12.75">
      <c r="A45" s="12" t="s">
        <v>106</v>
      </c>
      <c r="B45" s="13" t="str">
        <f>HYPERLINK("http://www.generation-msx.nl/msxdb/softwareinfo/700"," Lien")</f>
        <v> Lien</v>
      </c>
      <c r="C45" s="13">
        <v>1986</v>
      </c>
      <c r="D45" s="13" t="s">
        <v>107</v>
      </c>
      <c r="E45" s="14" t="s">
        <v>17</v>
      </c>
      <c r="F45" s="14" t="s">
        <v>27</v>
      </c>
      <c r="G45" s="13" t="s">
        <v>18</v>
      </c>
    </row>
    <row r="46" spans="1:7" ht="12.75">
      <c r="A46" s="15" t="s">
        <v>108</v>
      </c>
      <c r="B46" s="13" t="str">
        <f>HYPERLINK("http://www.generation-msx.nl/msxdb/softwareinfo/374"," Lien")</f>
        <v> Lien</v>
      </c>
      <c r="C46" s="13">
        <v>1985</v>
      </c>
      <c r="D46" s="13" t="s">
        <v>109</v>
      </c>
      <c r="E46" s="14" t="s">
        <v>110</v>
      </c>
      <c r="F46" s="14" t="s">
        <v>27</v>
      </c>
      <c r="G46" s="13" t="s">
        <v>18</v>
      </c>
    </row>
    <row r="47" spans="1:7" ht="12.75">
      <c r="A47" s="11" t="s">
        <v>111</v>
      </c>
      <c r="B47" s="9" t="str">
        <f>HYPERLINK("http://www.konamito.com/ficha/?id=1307"," Lien")</f>
        <v> Lien</v>
      </c>
      <c r="C47" s="9" t="s">
        <v>102</v>
      </c>
      <c r="D47" s="9" t="s">
        <v>102</v>
      </c>
      <c r="E47" s="10" t="s">
        <v>9</v>
      </c>
      <c r="F47" s="10" t="s">
        <v>48</v>
      </c>
      <c r="G47" s="9" t="s">
        <v>11</v>
      </c>
    </row>
    <row r="48" spans="1:7" ht="12.75">
      <c r="A48" s="12" t="s">
        <v>112</v>
      </c>
      <c r="B48" s="13" t="str">
        <f>HYPERLINK("http://www.generation-msx.nl/msxdb/softwareinfo/2295"," Lien")</f>
        <v> Lien</v>
      </c>
      <c r="C48" s="13">
        <v>1988</v>
      </c>
      <c r="D48" s="13" t="s">
        <v>113</v>
      </c>
      <c r="E48" s="14" t="s">
        <v>9</v>
      </c>
      <c r="F48" s="14" t="s">
        <v>10</v>
      </c>
      <c r="G48" s="13" t="s">
        <v>18</v>
      </c>
    </row>
    <row r="49" spans="1:7" ht="12.75">
      <c r="A49" s="11" t="s">
        <v>114</v>
      </c>
      <c r="B49" s="9" t="str">
        <f>HYPERLINK("http://www.generation-msx.nl/msxdb/softwareinfo/3257"," Lien")</f>
        <v> Lien</v>
      </c>
      <c r="C49" s="9">
        <v>1985</v>
      </c>
      <c r="D49" s="9" t="s">
        <v>115</v>
      </c>
      <c r="E49" s="10" t="s">
        <v>67</v>
      </c>
      <c r="F49" s="10" t="s">
        <v>10</v>
      </c>
      <c r="G49" s="9" t="s">
        <v>11</v>
      </c>
    </row>
    <row r="50" spans="1:7" ht="12.75">
      <c r="A50" s="11" t="s">
        <v>116</v>
      </c>
      <c r="B50" s="9" t="str">
        <f>HYPERLINK("http://www.generation-msx.nl/msxdb/softwareinfo/95"," Lien")</f>
        <v> Lien</v>
      </c>
      <c r="C50" s="9">
        <v>1984</v>
      </c>
      <c r="D50" s="9" t="s">
        <v>117</v>
      </c>
      <c r="E50" s="10" t="s">
        <v>9</v>
      </c>
      <c r="F50" s="10" t="s">
        <v>21</v>
      </c>
      <c r="G50" s="9" t="s">
        <v>11</v>
      </c>
    </row>
    <row r="51" spans="1:7" ht="12.75">
      <c r="A51" s="15" t="s">
        <v>118</v>
      </c>
      <c r="B51" s="13" t="str">
        <f>HYPERLINK("http://www.generation-msx.nl/msxdb/softwareinfo/901"," Lien")</f>
        <v> Lien</v>
      </c>
      <c r="C51" s="13">
        <v>1985</v>
      </c>
      <c r="D51" s="20" t="s">
        <v>119</v>
      </c>
      <c r="E51" s="14" t="s">
        <v>110</v>
      </c>
      <c r="F51" s="14" t="s">
        <v>10</v>
      </c>
      <c r="G51" s="13" t="s">
        <v>18</v>
      </c>
    </row>
    <row r="52" spans="1:7" ht="12.75">
      <c r="A52" s="11" t="s">
        <v>120</v>
      </c>
      <c r="B52" s="9" t="str">
        <f>HYPERLINK("http://www.generation-msx.nl/msxdb/softwareinfo/3124"," Lien")</f>
        <v> Lien</v>
      </c>
      <c r="C52" s="9">
        <v>1988</v>
      </c>
      <c r="D52" s="9" t="s">
        <v>121</v>
      </c>
      <c r="E52" s="10" t="s">
        <v>9</v>
      </c>
      <c r="F52" s="10" t="s">
        <v>10</v>
      </c>
      <c r="G52" s="9" t="s">
        <v>11</v>
      </c>
    </row>
    <row r="53" spans="1:7" ht="12.75">
      <c r="A53" s="11" t="s">
        <v>122</v>
      </c>
      <c r="B53" s="9" t="str">
        <f>HYPERLINK("http://www.generation-msx.nl/msxdb/softwareinfo/2896"," Lien")</f>
        <v> Lien</v>
      </c>
      <c r="C53" s="9">
        <v>1987</v>
      </c>
      <c r="D53" s="9" t="s">
        <v>123</v>
      </c>
      <c r="E53" s="10" t="s">
        <v>9</v>
      </c>
      <c r="F53" s="10" t="s">
        <v>10</v>
      </c>
      <c r="G53" s="9" t="s">
        <v>11</v>
      </c>
    </row>
    <row r="54" spans="1:7" ht="12.75">
      <c r="A54" s="15" t="s">
        <v>124</v>
      </c>
      <c r="B54" s="13" t="str">
        <f>HYPERLINK("http://www.generation-msx.nl/msxdb/softwareinfo/900"," Lien")</f>
        <v> Lien</v>
      </c>
      <c r="C54" s="13">
        <v>1987</v>
      </c>
      <c r="D54" s="13" t="s">
        <v>125</v>
      </c>
      <c r="E54" s="14" t="s">
        <v>9</v>
      </c>
      <c r="F54" s="14" t="s">
        <v>10</v>
      </c>
      <c r="G54" s="13" t="s">
        <v>18</v>
      </c>
    </row>
    <row r="55" spans="1:7" ht="12.75">
      <c r="A55" s="11" t="s">
        <v>126</v>
      </c>
      <c r="B55" s="9" t="str">
        <f>HYPERLINK("http://www.generation-msx.nl/msxdb/softwareinfo/2382"," Lien")</f>
        <v> Lien</v>
      </c>
      <c r="C55" s="9">
        <v>1984</v>
      </c>
      <c r="D55" s="9" t="s">
        <v>66</v>
      </c>
      <c r="E55" s="10" t="s">
        <v>24</v>
      </c>
      <c r="F55" s="10" t="s">
        <v>10</v>
      </c>
      <c r="G55" s="9" t="s">
        <v>11</v>
      </c>
    </row>
    <row r="56" spans="1:7" ht="12.75">
      <c r="A56" s="15" t="s">
        <v>127</v>
      </c>
      <c r="B56" s="13" t="str">
        <f>HYPERLINK("http://www.generation-msx.nl/msxdb/softwareinfo/704"," Lien")</f>
        <v> Lien</v>
      </c>
      <c r="C56" s="13">
        <v>1986</v>
      </c>
      <c r="D56" s="13" t="s">
        <v>128</v>
      </c>
      <c r="E56" s="14" t="s">
        <v>24</v>
      </c>
      <c r="F56" s="14" t="s">
        <v>27</v>
      </c>
      <c r="G56" s="13" t="s">
        <v>18</v>
      </c>
    </row>
    <row r="57" spans="1:7" ht="12.75">
      <c r="A57" s="16" t="s">
        <v>129</v>
      </c>
      <c r="B57" s="9" t="str">
        <f>HYPERLINK("http://www.generation-msx.nl/msxdb/softwareinfo/375"," Lien")</f>
        <v> Lien</v>
      </c>
      <c r="C57" s="9">
        <v>1984</v>
      </c>
      <c r="D57" s="9" t="s">
        <v>130</v>
      </c>
      <c r="E57" s="10" t="s">
        <v>9</v>
      </c>
      <c r="F57" s="10" t="s">
        <v>21</v>
      </c>
      <c r="G57" s="9" t="s">
        <v>11</v>
      </c>
    </row>
    <row r="58" spans="1:7" ht="12.75">
      <c r="A58" s="11" t="s">
        <v>131</v>
      </c>
      <c r="B58" s="9" t="str">
        <f>HYPERLINK("http://www.generation-msx.nl/msxdb/softwareinfo/2860"," Lien")</f>
        <v> Lien</v>
      </c>
      <c r="C58" s="9">
        <v>1987</v>
      </c>
      <c r="D58" s="25" t="s">
        <v>45</v>
      </c>
      <c r="E58" s="10" t="s">
        <v>17</v>
      </c>
      <c r="F58" s="26" t="s">
        <v>132</v>
      </c>
      <c r="G58" s="9" t="s">
        <v>11</v>
      </c>
    </row>
    <row r="59" spans="1:7" ht="12.75">
      <c r="A59" s="11" t="s">
        <v>133</v>
      </c>
      <c r="B59" s="9" t="str">
        <f>HYPERLINK("http://www.generation-msx.nl/msxdb/softwareinfo/3299"," Lien")</f>
        <v> Lien</v>
      </c>
      <c r="C59" s="9">
        <v>1988</v>
      </c>
      <c r="D59" s="9" t="s">
        <v>109</v>
      </c>
      <c r="E59" s="10" t="s">
        <v>9</v>
      </c>
      <c r="F59" s="10" t="s">
        <v>10</v>
      </c>
      <c r="G59" s="9" t="s">
        <v>11</v>
      </c>
    </row>
    <row r="60" spans="1:7" ht="12.75">
      <c r="A60" s="27" t="s">
        <v>134</v>
      </c>
      <c r="B60" s="13" t="str">
        <f>HYPERLINK("http://www.generation-msx.nl/msxdb/softwareinfo/2782"," Lien")</f>
        <v> Lien</v>
      </c>
      <c r="C60" s="13">
        <v>1987</v>
      </c>
      <c r="D60" s="13" t="s">
        <v>135</v>
      </c>
      <c r="E60" s="14" t="s">
        <v>9</v>
      </c>
      <c r="F60" s="14" t="s">
        <v>10</v>
      </c>
      <c r="G60" s="13" t="s">
        <v>18</v>
      </c>
    </row>
    <row r="61" spans="1:7" ht="12.75">
      <c r="A61" s="21" t="s">
        <v>136</v>
      </c>
      <c r="B61" s="9" t="str">
        <f>HYPERLINK("http://www.tilt.net/amazonia/pgn03.htm"," Lien")</f>
        <v> Lien</v>
      </c>
      <c r="C61" s="9">
        <v>1989</v>
      </c>
      <c r="D61" s="25" t="s">
        <v>137</v>
      </c>
      <c r="E61" s="10" t="s">
        <v>55</v>
      </c>
      <c r="F61" s="10" t="s">
        <v>48</v>
      </c>
      <c r="G61" s="9" t="s">
        <v>11</v>
      </c>
    </row>
    <row r="62" spans="1:7" ht="12.75">
      <c r="A62" s="15" t="s">
        <v>138</v>
      </c>
      <c r="B62" s="13" t="str">
        <f>HYPERLINK("http://www.generation-msx.nl/msxdb/softwareinfo/372"," Lien")</f>
        <v> Lien</v>
      </c>
      <c r="C62" s="13">
        <v>1985</v>
      </c>
      <c r="D62" s="13" t="s">
        <v>107</v>
      </c>
      <c r="E62" s="14" t="s">
        <v>9</v>
      </c>
      <c r="F62" s="14" t="s">
        <v>27</v>
      </c>
      <c r="G62" s="13" t="s">
        <v>18</v>
      </c>
    </row>
    <row r="63" spans="1:7" ht="12.75">
      <c r="A63" s="11" t="s">
        <v>139</v>
      </c>
      <c r="B63" s="9" t="str">
        <f>HYPERLINK("http://www.generation-msx.nl/msxdb/softwareinfo/2"," Lien")</f>
        <v> Lien</v>
      </c>
      <c r="C63" s="9">
        <v>1983</v>
      </c>
      <c r="D63" s="9" t="s">
        <v>128</v>
      </c>
      <c r="E63" s="10" t="s">
        <v>9</v>
      </c>
      <c r="F63" s="10" t="s">
        <v>10</v>
      </c>
      <c r="G63" s="9" t="s">
        <v>11</v>
      </c>
    </row>
    <row r="64" spans="1:7" ht="12.75">
      <c r="A64" s="11" t="s">
        <v>140</v>
      </c>
      <c r="B64" s="9" t="str">
        <f>HYPERLINK("http://www.generation-msx.nl/msxdb/softwareinfo/2276"," Lien")</f>
        <v> Lien</v>
      </c>
      <c r="C64" s="9">
        <v>1990</v>
      </c>
      <c r="D64" s="9" t="s">
        <v>91</v>
      </c>
      <c r="E64" s="10" t="s">
        <v>9</v>
      </c>
      <c r="F64" s="10" t="s">
        <v>10</v>
      </c>
      <c r="G64" s="9" t="s">
        <v>11</v>
      </c>
    </row>
    <row r="65" spans="1:7" ht="12.75">
      <c r="A65" s="11" t="s">
        <v>141</v>
      </c>
      <c r="B65" s="9" t="str">
        <f>HYPERLINK("http://www.generation-msx.nl/msxdb/softwareinfo/2291"," Lien")</f>
        <v> Lien</v>
      </c>
      <c r="C65" s="9">
        <v>1988</v>
      </c>
      <c r="D65" s="9" t="s">
        <v>142</v>
      </c>
      <c r="E65" s="10" t="s">
        <v>58</v>
      </c>
      <c r="F65" s="10" t="s">
        <v>10</v>
      </c>
      <c r="G65" s="9" t="s">
        <v>11</v>
      </c>
    </row>
    <row r="66" spans="1:7" ht="12.75">
      <c r="A66" s="15" t="s">
        <v>143</v>
      </c>
      <c r="B66" s="13" t="str">
        <f>HYPERLINK("http://www.generation-msx.nl/msxdb/softwareinfo/885"," Lien")</f>
        <v> Lien</v>
      </c>
      <c r="C66" s="13">
        <v>1987</v>
      </c>
      <c r="D66" s="13" t="s">
        <v>144</v>
      </c>
      <c r="E66" s="14" t="s">
        <v>24</v>
      </c>
      <c r="F66" s="14" t="s">
        <v>21</v>
      </c>
      <c r="G66" s="13" t="s">
        <v>18</v>
      </c>
    </row>
    <row r="67" spans="1:7" ht="12.75">
      <c r="A67" s="11" t="s">
        <v>145</v>
      </c>
      <c r="B67" s="9" t="str">
        <f>HYPERLINK("http://www.generation-msx.nl/msxdb/softwareinfo/2242"," Lien")</f>
        <v> Lien</v>
      </c>
      <c r="C67" s="9">
        <v>1990</v>
      </c>
      <c r="D67" s="9" t="s">
        <v>69</v>
      </c>
      <c r="E67" s="10" t="s">
        <v>17</v>
      </c>
      <c r="F67" s="10" t="s">
        <v>10</v>
      </c>
      <c r="G67" s="9" t="s">
        <v>11</v>
      </c>
    </row>
    <row r="68" spans="1:7" ht="12.75">
      <c r="A68" s="16" t="s">
        <v>146</v>
      </c>
      <c r="B68" s="9" t="str">
        <f>HYPERLINK("http://www.generation-msx.nl/msxdb/softwareinfo/376"," Lien")</f>
        <v> Lien</v>
      </c>
      <c r="C68" s="9">
        <v>1984</v>
      </c>
      <c r="D68" s="9" t="s">
        <v>81</v>
      </c>
      <c r="E68" s="10" t="s">
        <v>9</v>
      </c>
      <c r="F68" s="10" t="s">
        <v>21</v>
      </c>
      <c r="G68" s="9" t="s">
        <v>11</v>
      </c>
    </row>
    <row r="69" spans="1:7" ht="12.75">
      <c r="A69" s="11" t="s">
        <v>147</v>
      </c>
      <c r="B69" s="9" t="str">
        <f>HYPERLINK("http://www.generation-msx.nl/msxdb/softwareinfo/2729"," Lien")</f>
        <v> Lien</v>
      </c>
      <c r="C69" s="9">
        <v>1987</v>
      </c>
      <c r="D69" s="9" t="s">
        <v>135</v>
      </c>
      <c r="E69" s="10" t="s">
        <v>17</v>
      </c>
      <c r="F69" s="10" t="s">
        <v>10</v>
      </c>
      <c r="G69" s="9" t="s">
        <v>11</v>
      </c>
    </row>
    <row r="70" spans="1:7" ht="24.75" customHeight="1">
      <c r="A70" s="28" t="s">
        <v>148</v>
      </c>
      <c r="B70" s="9" t="str">
        <f>HYPERLINK("http://www.konamito.com/ficha/?id=739"," Lien")</f>
        <v> Lien</v>
      </c>
      <c r="C70" s="9">
        <v>1986</v>
      </c>
      <c r="D70" s="9" t="s">
        <v>149</v>
      </c>
      <c r="E70" s="10" t="s">
        <v>9</v>
      </c>
      <c r="F70" s="10" t="s">
        <v>10</v>
      </c>
      <c r="G70" s="9" t="s">
        <v>11</v>
      </c>
    </row>
    <row r="71" spans="1:7" ht="12.75">
      <c r="A71" s="16" t="s">
        <v>150</v>
      </c>
      <c r="B71" s="9" t="str">
        <f>HYPERLINK("http://www.generation-msx.nl/msxdb/softwareinfo/886"," Lien")</f>
        <v> Lien</v>
      </c>
      <c r="C71" s="9">
        <v>1987</v>
      </c>
      <c r="D71" s="9" t="s">
        <v>151</v>
      </c>
      <c r="E71" s="10" t="s">
        <v>55</v>
      </c>
      <c r="F71" s="10" t="s">
        <v>21</v>
      </c>
      <c r="G71" s="9" t="s">
        <v>11</v>
      </c>
    </row>
    <row r="72" spans="1:7" ht="12.75">
      <c r="A72" s="15" t="s">
        <v>152</v>
      </c>
      <c r="B72" s="13" t="str">
        <f>HYPERLINK("http://www.generation-msx.nl/msxdb/softwareinfo/25"," Lien")</f>
        <v> Lien</v>
      </c>
      <c r="C72" s="13">
        <v>1984</v>
      </c>
      <c r="D72" s="13" t="s">
        <v>62</v>
      </c>
      <c r="E72" s="14" t="s">
        <v>9</v>
      </c>
      <c r="F72" s="14" t="s">
        <v>21</v>
      </c>
      <c r="G72" s="13" t="s">
        <v>18</v>
      </c>
    </row>
    <row r="73" spans="1:7" ht="12.75">
      <c r="A73" s="11" t="s">
        <v>153</v>
      </c>
      <c r="B73" s="9" t="str">
        <f>HYPERLINK("http://www.generation-msx.nl/msxdb/softwareinfo/2156"," Lien")</f>
        <v> Lien</v>
      </c>
      <c r="C73" s="9">
        <v>1987</v>
      </c>
      <c r="D73" s="9" t="s">
        <v>154</v>
      </c>
      <c r="E73" s="10" t="s">
        <v>24</v>
      </c>
      <c r="F73" s="10" t="s">
        <v>10</v>
      </c>
      <c r="G73" s="9" t="s">
        <v>11</v>
      </c>
    </row>
    <row r="74" spans="1:7" ht="12.75">
      <c r="A74" s="11" t="s">
        <v>155</v>
      </c>
      <c r="B74" s="9" t="str">
        <f>HYPERLINK("http://www.generation-msx.nl/msxdb/softwareinfo/96"," Lien")</f>
        <v> Lien</v>
      </c>
      <c r="C74" s="9">
        <v>1984</v>
      </c>
      <c r="D74" s="9" t="s">
        <v>156</v>
      </c>
      <c r="E74" s="10" t="s">
        <v>9</v>
      </c>
      <c r="F74" s="10" t="s">
        <v>21</v>
      </c>
      <c r="G74" s="9" t="s">
        <v>11</v>
      </c>
    </row>
    <row r="75" spans="1:7" ht="12.75">
      <c r="A75" s="11" t="s">
        <v>157</v>
      </c>
      <c r="B75" s="9" t="str">
        <f>HYPERLINK("http://www.generation-msx.nl/msxdb/softwareinfo/3182"," Lien")</f>
        <v> Lien</v>
      </c>
      <c r="C75" s="9">
        <v>1985</v>
      </c>
      <c r="D75" s="9" t="s">
        <v>158</v>
      </c>
      <c r="E75" s="10" t="s">
        <v>51</v>
      </c>
      <c r="F75" s="10" t="s">
        <v>10</v>
      </c>
      <c r="G75" s="9" t="s">
        <v>11</v>
      </c>
    </row>
    <row r="76" spans="1:7" ht="12.75">
      <c r="A76" s="16" t="s">
        <v>159</v>
      </c>
      <c r="B76" s="9" t="str">
        <f>HYPERLINK("http://www.generation-msx.nl/msxdb/softwareinfo/4"," Lien")</f>
        <v> Lien</v>
      </c>
      <c r="C76" s="9">
        <v>1983</v>
      </c>
      <c r="D76" s="9" t="s">
        <v>160</v>
      </c>
      <c r="E76" s="10" t="s">
        <v>9</v>
      </c>
      <c r="F76" s="10" t="s">
        <v>21</v>
      </c>
      <c r="G76" s="9" t="s">
        <v>11</v>
      </c>
    </row>
    <row r="77" spans="1:7" ht="12.75">
      <c r="A77" s="16" t="s">
        <v>161</v>
      </c>
      <c r="B77" s="9" t="str">
        <f>HYPERLINK("http://www.generation-msx.nl/msxdb/softwareinfo/90"," Lien")</f>
        <v> Lien</v>
      </c>
      <c r="C77" s="9">
        <v>1984</v>
      </c>
      <c r="D77" s="9" t="s">
        <v>60</v>
      </c>
      <c r="E77" s="10" t="s">
        <v>9</v>
      </c>
      <c r="F77" s="10" t="s">
        <v>21</v>
      </c>
      <c r="G77" s="9" t="s">
        <v>11</v>
      </c>
    </row>
    <row r="78" spans="1:7" ht="12.75">
      <c r="A78" s="11" t="s">
        <v>162</v>
      </c>
      <c r="B78" s="9" t="str">
        <f>HYPERLINK("http://www.generation-msx.nl/msxdb/softwareinfo/699"," Lien")</f>
        <v> Lien</v>
      </c>
      <c r="C78" s="9">
        <v>1985</v>
      </c>
      <c r="D78" s="9" t="s">
        <v>163</v>
      </c>
      <c r="E78" s="10" t="s">
        <v>9</v>
      </c>
      <c r="F78" s="10" t="s">
        <v>21</v>
      </c>
      <c r="G78" s="9" t="s">
        <v>11</v>
      </c>
    </row>
    <row r="79" spans="1:7" ht="12.75">
      <c r="A79" s="11" t="s">
        <v>164</v>
      </c>
      <c r="B79" s="9" t="str">
        <f>HYPERLINK("http://www.generation-msx.nl/msxdb/softwareinfo/3345"," Lien")</f>
        <v> Lien</v>
      </c>
      <c r="C79" s="9">
        <v>1989</v>
      </c>
      <c r="D79" s="9" t="s">
        <v>165</v>
      </c>
      <c r="E79" s="10" t="s">
        <v>43</v>
      </c>
      <c r="F79" s="10" t="s">
        <v>10</v>
      </c>
      <c r="G79" s="9" t="s">
        <v>11</v>
      </c>
    </row>
    <row r="80" spans="1:7" ht="12.75">
      <c r="A80" s="11" t="s">
        <v>166</v>
      </c>
      <c r="B80" s="9" t="str">
        <f>HYPERLINK("http://www.generation-msx.nl/msxdb/softwareinfo/3249"," Lien")</f>
        <v> Lien</v>
      </c>
      <c r="C80" s="9">
        <v>1985</v>
      </c>
      <c r="D80" s="9" t="s">
        <v>167</v>
      </c>
      <c r="E80" s="10" t="s">
        <v>67</v>
      </c>
      <c r="F80" s="10" t="s">
        <v>10</v>
      </c>
      <c r="G80" s="9" t="s">
        <v>11</v>
      </c>
    </row>
    <row r="81" spans="1:7" ht="12.75">
      <c r="A81" s="12" t="s">
        <v>168</v>
      </c>
      <c r="B81" s="13" t="str">
        <f>HYPERLINK("http://www.generation-msx.nl/msxdb/softwareinfo/887"," Lien")</f>
        <v> Lien</v>
      </c>
      <c r="C81" s="13">
        <v>1986</v>
      </c>
      <c r="D81" s="13" t="s">
        <v>169</v>
      </c>
      <c r="E81" s="14" t="s">
        <v>83</v>
      </c>
      <c r="F81" s="14" t="s">
        <v>27</v>
      </c>
      <c r="G81" s="13" t="s">
        <v>18</v>
      </c>
    </row>
    <row r="82" spans="1:7" ht="12.75">
      <c r="A82" s="21" t="s">
        <v>170</v>
      </c>
      <c r="B82" s="9"/>
      <c r="C82" s="9" t="s">
        <v>102</v>
      </c>
      <c r="D82" s="9" t="s">
        <v>102</v>
      </c>
      <c r="E82" s="10" t="s">
        <v>9</v>
      </c>
      <c r="F82" s="10" t="s">
        <v>10</v>
      </c>
      <c r="G82" s="9" t="s">
        <v>11</v>
      </c>
    </row>
    <row r="83" spans="1:7" ht="12.75">
      <c r="A83" s="11" t="s">
        <v>171</v>
      </c>
      <c r="B83" s="9" t="str">
        <f>HYPERLINK("http://www.generation-msx.nl/msxdb/softwareinfo/2338"," Lien")</f>
        <v> Lien</v>
      </c>
      <c r="C83" s="9">
        <v>1987</v>
      </c>
      <c r="D83" s="9" t="s">
        <v>96</v>
      </c>
      <c r="E83" s="10" t="s">
        <v>9</v>
      </c>
      <c r="F83" s="10" t="s">
        <v>10</v>
      </c>
      <c r="G83" s="9" t="s">
        <v>11</v>
      </c>
    </row>
    <row r="84" spans="1:7" ht="12.75">
      <c r="A84" s="21" t="s">
        <v>172</v>
      </c>
      <c r="B84" s="9"/>
      <c r="C84" s="9">
        <v>1988</v>
      </c>
      <c r="D84" s="9" t="s">
        <v>96</v>
      </c>
      <c r="E84" s="10" t="s">
        <v>24</v>
      </c>
      <c r="F84" s="10" t="s">
        <v>10</v>
      </c>
      <c r="G84" s="9" t="s">
        <v>11</v>
      </c>
    </row>
    <row r="85" spans="1:7" ht="12.75">
      <c r="A85" s="11" t="s">
        <v>173</v>
      </c>
      <c r="B85" s="9" t="str">
        <f>HYPERLINK("http://www.generation-msx.nl/msxdb/softwareinfo/2109"," Lien")</f>
        <v> Lien</v>
      </c>
      <c r="C85" s="9">
        <v>1987</v>
      </c>
      <c r="D85" s="9" t="s">
        <v>73</v>
      </c>
      <c r="E85" s="10" t="s">
        <v>9</v>
      </c>
      <c r="F85" s="10" t="s">
        <v>10</v>
      </c>
      <c r="G85" s="9" t="s">
        <v>11</v>
      </c>
    </row>
    <row r="86" spans="1:7" ht="12.75">
      <c r="A86" s="11" t="s">
        <v>174</v>
      </c>
      <c r="B86" s="9" t="str">
        <f>HYPERLINK("http://www.generation-msx.nl/msxdb/softwareinfo/2110"," Lien")</f>
        <v> Lien</v>
      </c>
      <c r="C86" s="9">
        <v>1986</v>
      </c>
      <c r="D86" s="9" t="s">
        <v>73</v>
      </c>
      <c r="E86" s="10" t="s">
        <v>55</v>
      </c>
      <c r="F86" s="10" t="s">
        <v>10</v>
      </c>
      <c r="G86" s="9" t="s">
        <v>11</v>
      </c>
    </row>
    <row r="87" spans="1:7" ht="12.75">
      <c r="A87" s="11" t="s">
        <v>175</v>
      </c>
      <c r="B87" s="9" t="str">
        <f>HYPERLINK("http://www.generation-msx.nl/msxdb/softwareinfo/2111"," Lien")</f>
        <v> Lien</v>
      </c>
      <c r="C87" s="9">
        <v>1988</v>
      </c>
      <c r="D87" s="9" t="s">
        <v>73</v>
      </c>
      <c r="E87" s="10" t="s">
        <v>17</v>
      </c>
      <c r="F87" s="10" t="s">
        <v>10</v>
      </c>
      <c r="G87" s="9" t="s">
        <v>11</v>
      </c>
    </row>
    <row r="88" spans="1:7" ht="12.75">
      <c r="A88" s="11" t="s">
        <v>176</v>
      </c>
      <c r="B88" s="9" t="str">
        <f>HYPERLINK("http://www.generation-msx.nl/msxdb/softwareinfo/3049"," Lien")</f>
        <v> Lien</v>
      </c>
      <c r="C88" s="9">
        <v>1988</v>
      </c>
      <c r="D88" s="9" t="s">
        <v>177</v>
      </c>
      <c r="E88" s="10" t="s">
        <v>24</v>
      </c>
      <c r="F88" s="10" t="s">
        <v>178</v>
      </c>
      <c r="G88" s="9" t="s">
        <v>11</v>
      </c>
    </row>
    <row r="89" spans="1:7" ht="12.75">
      <c r="A89" s="16" t="s">
        <v>179</v>
      </c>
      <c r="B89" s="9" t="str">
        <f>HYPERLINK("http://www.generation-msx.nl/msxdb/softwareinfo/2112"," Lien")</f>
        <v> Lien</v>
      </c>
      <c r="C89" s="9">
        <v>1989</v>
      </c>
      <c r="D89" s="9" t="s">
        <v>73</v>
      </c>
      <c r="E89" s="10" t="s">
        <v>58</v>
      </c>
      <c r="F89" s="10" t="s">
        <v>10</v>
      </c>
      <c r="G89" s="9" t="s">
        <v>11</v>
      </c>
    </row>
    <row r="90" spans="1:7" ht="12.75">
      <c r="A90" s="11" t="s">
        <v>180</v>
      </c>
      <c r="B90" s="9" t="str">
        <f>HYPERLINK("http://www.generation-msx.nl/msxdb/softwareinfo/3479"," Lien")</f>
        <v> Lien</v>
      </c>
      <c r="C90" s="9">
        <v>1985</v>
      </c>
      <c r="D90" s="25" t="s">
        <v>181</v>
      </c>
      <c r="E90" s="10" t="s">
        <v>51</v>
      </c>
      <c r="F90" s="10" t="s">
        <v>10</v>
      </c>
      <c r="G90" s="9" t="s">
        <v>11</v>
      </c>
    </row>
    <row r="91" spans="1:7" ht="12.75">
      <c r="A91" s="11" t="s">
        <v>182</v>
      </c>
      <c r="B91" s="9" t="str">
        <f>HYPERLINK("http://www.generation-msx.nl/msxdb/softwareinfo/2881"," Lien")</f>
        <v> Lien</v>
      </c>
      <c r="C91" s="9">
        <v>1984</v>
      </c>
      <c r="D91" s="9" t="s">
        <v>183</v>
      </c>
      <c r="E91" s="10" t="s">
        <v>58</v>
      </c>
      <c r="F91" s="10" t="s">
        <v>10</v>
      </c>
      <c r="G91" s="9" t="s">
        <v>11</v>
      </c>
    </row>
    <row r="92" spans="1:7" ht="12.75">
      <c r="A92" s="11" t="s">
        <v>184</v>
      </c>
      <c r="B92" s="9" t="str">
        <f>HYPERLINK("http://www.generation-msx.nl/msxdb/softwareinfo/2208"," Lien")</f>
        <v> Lien</v>
      </c>
      <c r="C92" s="9">
        <v>1987</v>
      </c>
      <c r="D92" s="9" t="s">
        <v>115</v>
      </c>
      <c r="E92" s="10" t="s">
        <v>58</v>
      </c>
      <c r="F92" s="10" t="s">
        <v>10</v>
      </c>
      <c r="G92" s="9" t="s">
        <v>11</v>
      </c>
    </row>
    <row r="93" spans="1:7" ht="12.75">
      <c r="A93" s="15" t="s">
        <v>185</v>
      </c>
      <c r="B93" s="13" t="str">
        <f>HYPERLINK("http://www.generation-msx.nl/msxdb/softwareinfo/92"," Lien")</f>
        <v> Lien</v>
      </c>
      <c r="C93" s="13">
        <v>1984</v>
      </c>
      <c r="D93" s="13" t="s">
        <v>23</v>
      </c>
      <c r="E93" s="14" t="s">
        <v>58</v>
      </c>
      <c r="F93" s="14" t="s">
        <v>21</v>
      </c>
      <c r="G93" s="13" t="s">
        <v>18</v>
      </c>
    </row>
    <row r="94" spans="1:7" ht="12.75">
      <c r="A94" s="12" t="s">
        <v>186</v>
      </c>
      <c r="B94" s="13" t="str">
        <f>HYPERLINK("http://www.generation-msx.nl/msxdb/softwareinfo/362"," Lien")</f>
        <v> Lien</v>
      </c>
      <c r="C94" s="13">
        <v>1984</v>
      </c>
      <c r="D94" s="13" t="s">
        <v>62</v>
      </c>
      <c r="E94" s="14" t="s">
        <v>58</v>
      </c>
      <c r="F94" s="14" t="s">
        <v>21</v>
      </c>
      <c r="G94" s="13" t="s">
        <v>18</v>
      </c>
    </row>
    <row r="95" spans="1:7" ht="12.75">
      <c r="A95" s="21" t="s">
        <v>187</v>
      </c>
      <c r="B95" s="22"/>
      <c r="C95" s="9">
        <v>1985</v>
      </c>
      <c r="D95" s="9" t="s">
        <v>102</v>
      </c>
      <c r="E95" s="10" t="s">
        <v>58</v>
      </c>
      <c r="F95" s="10" t="s">
        <v>10</v>
      </c>
      <c r="G95" s="9" t="s">
        <v>11</v>
      </c>
    </row>
    <row r="96" spans="1:7" ht="12.75">
      <c r="A96" s="16" t="s">
        <v>188</v>
      </c>
      <c r="B96" s="9" t="str">
        <f>HYPERLINK("http://www.generation-msx.nl/msxdb/softwareinfo/697"," Lien")</f>
        <v> Lien</v>
      </c>
      <c r="C96" s="9">
        <v>1986</v>
      </c>
      <c r="D96" s="9" t="s">
        <v>189</v>
      </c>
      <c r="E96" s="10" t="s">
        <v>17</v>
      </c>
      <c r="F96" s="10" t="s">
        <v>21</v>
      </c>
      <c r="G96" s="9" t="s">
        <v>11</v>
      </c>
    </row>
    <row r="97" spans="1:7" ht="12.75">
      <c r="A97" s="29" t="s">
        <v>190</v>
      </c>
      <c r="B97" s="13" t="str">
        <f>HYPERLINK("http://www.konamito.com/ficha/?id=1004"," Lien")</f>
        <v> Lien</v>
      </c>
      <c r="C97" s="13">
        <v>1986</v>
      </c>
      <c r="D97" s="13" t="s">
        <v>191</v>
      </c>
      <c r="E97" s="14" t="s">
        <v>9</v>
      </c>
      <c r="F97" s="14" t="s">
        <v>10</v>
      </c>
      <c r="G97" s="13" t="s">
        <v>18</v>
      </c>
    </row>
    <row r="98" spans="1:7" ht="12.75">
      <c r="A98" s="12" t="s">
        <v>192</v>
      </c>
      <c r="B98" s="13" t="str">
        <f>HYPERLINK("http://www.generation-msx.nl/msxdb/softwareinfo/2844"," Lien")</f>
        <v> Lien</v>
      </c>
      <c r="C98" s="13">
        <v>1986</v>
      </c>
      <c r="D98" s="13" t="s">
        <v>193</v>
      </c>
      <c r="E98" s="14" t="s">
        <v>110</v>
      </c>
      <c r="F98" s="14" t="s">
        <v>10</v>
      </c>
      <c r="G98" s="13" t="s">
        <v>18</v>
      </c>
    </row>
    <row r="99" spans="1:7" ht="12.75">
      <c r="A99" s="12" t="s">
        <v>194</v>
      </c>
      <c r="B99" s="13" t="str">
        <f>HYPERLINK("http://www.generation-msx.nl/msxdb/softwareinfo/2879"," Lien")</f>
        <v> Lien</v>
      </c>
      <c r="C99" s="13" t="s">
        <v>102</v>
      </c>
      <c r="D99" s="13" t="s">
        <v>195</v>
      </c>
      <c r="E99" s="14" t="s">
        <v>24</v>
      </c>
      <c r="F99" s="14" t="s">
        <v>10</v>
      </c>
      <c r="G99" s="13" t="s">
        <v>18</v>
      </c>
    </row>
    <row r="100" spans="1:7" ht="12.75">
      <c r="A100" s="29" t="s">
        <v>196</v>
      </c>
      <c r="B100" s="30"/>
      <c r="C100" s="13" t="s">
        <v>102</v>
      </c>
      <c r="D100" s="13" t="s">
        <v>102</v>
      </c>
      <c r="E100" s="14" t="s">
        <v>9</v>
      </c>
      <c r="F100" s="14" t="s">
        <v>10</v>
      </c>
      <c r="G100" s="13" t="s">
        <v>18</v>
      </c>
    </row>
    <row r="101" spans="1:7" ht="12.75">
      <c r="A101" s="27" t="s">
        <v>197</v>
      </c>
      <c r="B101" s="13" t="str">
        <f>HYPERLINK("http://www.generation-msx.nl/msxdb/softwareinfo/2705"," Lien")</f>
        <v> Lien</v>
      </c>
      <c r="C101" s="13">
        <v>1987</v>
      </c>
      <c r="D101" s="13" t="s">
        <v>198</v>
      </c>
      <c r="E101" s="14" t="s">
        <v>110</v>
      </c>
      <c r="F101" s="14" t="s">
        <v>10</v>
      </c>
      <c r="G101" s="13" t="s">
        <v>18</v>
      </c>
    </row>
    <row r="102" spans="1:7" ht="12.75">
      <c r="A102" s="27" t="s">
        <v>199</v>
      </c>
      <c r="B102" s="13" t="str">
        <f>HYPERLINK("http://www.generation-msx.nl/msxdb/softwareinfo/2706"," Lien")</f>
        <v> Lien</v>
      </c>
      <c r="C102" s="13">
        <v>1986</v>
      </c>
      <c r="D102" s="13" t="s">
        <v>198</v>
      </c>
      <c r="E102" s="14" t="s">
        <v>110</v>
      </c>
      <c r="F102" s="14" t="s">
        <v>10</v>
      </c>
      <c r="G102" s="13" t="s">
        <v>18</v>
      </c>
    </row>
    <row r="103" spans="1:7" ht="12.75">
      <c r="A103" s="31" t="s">
        <v>200</v>
      </c>
      <c r="B103" s="9" t="str">
        <f>HYPERLINK("http://www.generation-msx.nl/msxdb/softwareinfo/2095"," Lien")</f>
        <v> Lien</v>
      </c>
      <c r="C103" s="9">
        <v>1990</v>
      </c>
      <c r="D103" s="9" t="s">
        <v>201</v>
      </c>
      <c r="E103" s="10" t="s">
        <v>55</v>
      </c>
      <c r="F103" s="10" t="s">
        <v>10</v>
      </c>
      <c r="G103" s="9" t="s">
        <v>11</v>
      </c>
    </row>
    <row r="104" spans="1:7" ht="12.75">
      <c r="A104" s="31" t="s">
        <v>202</v>
      </c>
      <c r="B104" s="9" t="str">
        <f>HYPERLINK("http://www.generation-msx.nl/msxdb/softwareinfo/2096"," Lien")</f>
        <v> Lien</v>
      </c>
      <c r="C104" s="9">
        <v>1989</v>
      </c>
      <c r="D104" s="9" t="s">
        <v>201</v>
      </c>
      <c r="E104" s="10" t="s">
        <v>55</v>
      </c>
      <c r="F104" s="10" t="s">
        <v>10</v>
      </c>
      <c r="G104" s="9" t="s">
        <v>11</v>
      </c>
    </row>
    <row r="105" spans="1:7" ht="12.75">
      <c r="A105" s="32" t="s">
        <v>203</v>
      </c>
      <c r="B105" s="9" t="str">
        <f>HYPERLINK("http://www.generation-msx.nl/msxdb/softwareinfo/2270"," Lien")</f>
        <v> Lien</v>
      </c>
      <c r="C105" s="9">
        <v>1985</v>
      </c>
      <c r="D105" s="9" t="s">
        <v>204</v>
      </c>
      <c r="E105" s="10" t="s">
        <v>58</v>
      </c>
      <c r="F105" s="10" t="s">
        <v>10</v>
      </c>
      <c r="G105" s="9" t="s">
        <v>11</v>
      </c>
    </row>
    <row r="106" spans="1:7" ht="12.75">
      <c r="A106" s="33" t="s">
        <v>205</v>
      </c>
      <c r="B106" s="13" t="str">
        <f>HYPERLINK("http://www.generation-msx.nl/msxdb/softwareinfo/593"," Lien")</f>
        <v> Lien</v>
      </c>
      <c r="C106" s="13">
        <v>1985</v>
      </c>
      <c r="D106" s="13" t="s">
        <v>206</v>
      </c>
      <c r="E106" s="14" t="s">
        <v>207</v>
      </c>
      <c r="F106" s="14" t="s">
        <v>21</v>
      </c>
      <c r="G106" s="13" t="s">
        <v>18</v>
      </c>
    </row>
    <row r="107" spans="1:7" ht="12.75">
      <c r="A107" s="33" t="s">
        <v>205</v>
      </c>
      <c r="B107" s="13" t="str">
        <f>HYPERLINK("http://www.generation-msx.nl/msxdb/softwareinfo/2950"," Lien")</f>
        <v> Lien</v>
      </c>
      <c r="C107" s="13">
        <v>1984</v>
      </c>
      <c r="D107" s="13" t="s">
        <v>208</v>
      </c>
      <c r="E107" s="14" t="s">
        <v>207</v>
      </c>
      <c r="F107" s="14" t="s">
        <v>209</v>
      </c>
      <c r="G107" s="13" t="s">
        <v>18</v>
      </c>
    </row>
    <row r="108" spans="1:7" ht="12.75">
      <c r="A108" s="34" t="s">
        <v>210</v>
      </c>
      <c r="B108" s="13" t="str">
        <f>HYPERLINK("http://www.generation-msx.nl/msxdb/softwareinfo/827"," Lien")</f>
        <v> Lien</v>
      </c>
      <c r="C108" s="13">
        <v>1985</v>
      </c>
      <c r="D108" s="13" t="s">
        <v>128</v>
      </c>
      <c r="E108" s="14" t="s">
        <v>9</v>
      </c>
      <c r="F108" s="14" t="s">
        <v>21</v>
      </c>
      <c r="G108" s="13" t="s">
        <v>18</v>
      </c>
    </row>
    <row r="109" spans="1:7" ht="12.75">
      <c r="A109" s="35" t="s">
        <v>211</v>
      </c>
      <c r="B109" s="9" t="str">
        <f>HYPERLINK("http://www.konamito.com/ficha/?id=2231"," Lien")</f>
        <v> Lien</v>
      </c>
      <c r="C109" s="9">
        <v>2007</v>
      </c>
      <c r="D109" s="9" t="s">
        <v>212</v>
      </c>
      <c r="E109" s="10" t="s">
        <v>58</v>
      </c>
      <c r="F109" s="10" t="s">
        <v>21</v>
      </c>
      <c r="G109" s="9" t="s">
        <v>11</v>
      </c>
    </row>
    <row r="110" spans="1:7" ht="12.75">
      <c r="A110" s="35" t="s">
        <v>213</v>
      </c>
      <c r="B110" s="9" t="str">
        <f>HYPERLINK("http://www.konamito.com/ficha/?id=2555"," Lien")</f>
        <v> Lien</v>
      </c>
      <c r="C110" s="9">
        <v>2008</v>
      </c>
      <c r="D110" s="9" t="s">
        <v>212</v>
      </c>
      <c r="E110" s="10" t="s">
        <v>58</v>
      </c>
      <c r="F110" s="10" t="s">
        <v>21</v>
      </c>
      <c r="G110" s="9" t="s">
        <v>11</v>
      </c>
    </row>
    <row r="111" spans="1:7" ht="12.75">
      <c r="A111" s="33" t="s">
        <v>214</v>
      </c>
      <c r="B111" s="13" t="str">
        <f>HYPERLINK("http://www.generation-msx.nl/msxdb/softwareinfo/598"," Lien")</f>
        <v> Lien</v>
      </c>
      <c r="C111" s="13">
        <v>1984</v>
      </c>
      <c r="D111" s="13" t="s">
        <v>215</v>
      </c>
      <c r="E111" s="14" t="s">
        <v>67</v>
      </c>
      <c r="F111" s="14" t="s">
        <v>21</v>
      </c>
      <c r="G111" s="13" t="s">
        <v>18</v>
      </c>
    </row>
    <row r="112" spans="1:7" ht="12.75">
      <c r="A112" s="33" t="s">
        <v>216</v>
      </c>
      <c r="B112" s="13" t="str">
        <f>HYPERLINK("http://www.generation-msx.nl/msxdb/softwareinfo/3229"," Lien")</f>
        <v> Lien</v>
      </c>
      <c r="C112" s="13" t="s">
        <v>102</v>
      </c>
      <c r="D112" s="13" t="s">
        <v>217</v>
      </c>
      <c r="E112" s="14" t="s">
        <v>83</v>
      </c>
      <c r="F112" s="14" t="s">
        <v>48</v>
      </c>
      <c r="G112" s="13" t="s">
        <v>18</v>
      </c>
    </row>
    <row r="113" spans="1:7" ht="12.75">
      <c r="A113" s="33" t="s">
        <v>218</v>
      </c>
      <c r="B113" s="13" t="str">
        <f>HYPERLINK("http://www.generation-msx.nl/msxdb/softwareinfo/2921"," Lien")</f>
        <v> Lien</v>
      </c>
      <c r="C113" s="13">
        <v>1987</v>
      </c>
      <c r="D113" s="13" t="s">
        <v>123</v>
      </c>
      <c r="E113" s="14" t="s">
        <v>9</v>
      </c>
      <c r="F113" s="14" t="s">
        <v>10</v>
      </c>
      <c r="G113" s="13" t="s">
        <v>18</v>
      </c>
    </row>
    <row r="114" spans="1:7" ht="12.75">
      <c r="A114" s="36" t="s">
        <v>219</v>
      </c>
      <c r="B114" s="13" t="str">
        <f>HYPERLINK("http://www.konamito.com/ficha/?id=2716"," Lien")</f>
        <v> Lien</v>
      </c>
      <c r="C114" s="13" t="s">
        <v>102</v>
      </c>
      <c r="D114" s="13" t="s">
        <v>47</v>
      </c>
      <c r="E114" s="14" t="s">
        <v>9</v>
      </c>
      <c r="F114" s="14" t="s">
        <v>48</v>
      </c>
      <c r="G114" s="13" t="s">
        <v>18</v>
      </c>
    </row>
    <row r="115" spans="1:7" ht="12.75">
      <c r="A115" s="33" t="s">
        <v>220</v>
      </c>
      <c r="B115" s="13" t="str">
        <f>HYPERLINK("http://www.konamito.com/ficha/?id=2232"," Lien")</f>
        <v> Lien</v>
      </c>
      <c r="C115" s="13">
        <v>1986</v>
      </c>
      <c r="D115" s="13" t="s">
        <v>212</v>
      </c>
      <c r="E115" s="14" t="s">
        <v>9</v>
      </c>
      <c r="F115" s="14" t="s">
        <v>21</v>
      </c>
      <c r="G115" s="13" t="s">
        <v>18</v>
      </c>
    </row>
    <row r="116" spans="1:7" ht="12.75">
      <c r="A116" s="37" t="s">
        <v>221</v>
      </c>
      <c r="B116" s="9" t="str">
        <f>HYPERLINK("http://www.generation-msx.nl/msxdb/softwareinfo/3437"," Lien")</f>
        <v> Lien</v>
      </c>
      <c r="C116" s="9">
        <v>1986</v>
      </c>
      <c r="D116" s="9" t="s">
        <v>222</v>
      </c>
      <c r="E116" s="10" t="s">
        <v>55</v>
      </c>
      <c r="F116" s="10" t="s">
        <v>10</v>
      </c>
      <c r="G116" s="9" t="s">
        <v>11</v>
      </c>
    </row>
    <row r="117" spans="1:7" ht="12.75">
      <c r="A117" s="34" t="s">
        <v>223</v>
      </c>
      <c r="B117" s="13" t="str">
        <f>HYPERLINK("http://www.generation-msx.nl/msxdb/softwareinfo/273"," Lien")</f>
        <v> Lien</v>
      </c>
      <c r="C117" s="13">
        <v>1984</v>
      </c>
      <c r="D117" s="13" t="s">
        <v>23</v>
      </c>
      <c r="E117" s="14" t="s">
        <v>9</v>
      </c>
      <c r="F117" s="14" t="s">
        <v>21</v>
      </c>
      <c r="G117" s="13" t="s">
        <v>18</v>
      </c>
    </row>
    <row r="118" spans="1:7" ht="12.75">
      <c r="A118" s="38" t="s">
        <v>224</v>
      </c>
      <c r="B118" s="39"/>
      <c r="C118" s="9" t="s">
        <v>102</v>
      </c>
      <c r="D118" s="9" t="s">
        <v>225</v>
      </c>
      <c r="E118" s="10" t="s">
        <v>58</v>
      </c>
      <c r="F118" s="10" t="s">
        <v>48</v>
      </c>
      <c r="G118" s="9" t="s">
        <v>11</v>
      </c>
    </row>
    <row r="119" spans="1:7" ht="12.75">
      <c r="A119" s="40" t="s">
        <v>226</v>
      </c>
      <c r="B119" s="13" t="str">
        <f>HYPERLINK("http://www.generation-msx.nl/msxdb/softwareinfo/832"," Lien")</f>
        <v> Lien</v>
      </c>
      <c r="C119" s="13">
        <v>1985</v>
      </c>
      <c r="D119" s="13" t="s">
        <v>227</v>
      </c>
      <c r="E119" s="14" t="s">
        <v>9</v>
      </c>
      <c r="F119" s="14" t="s">
        <v>21</v>
      </c>
      <c r="G119" s="13" t="s">
        <v>18</v>
      </c>
    </row>
    <row r="120" spans="1:7" ht="12.75">
      <c r="A120" s="38" t="s">
        <v>228</v>
      </c>
      <c r="B120" s="9"/>
      <c r="C120" s="9" t="s">
        <v>102</v>
      </c>
      <c r="D120" s="9" t="s">
        <v>102</v>
      </c>
      <c r="E120" s="10" t="s">
        <v>58</v>
      </c>
      <c r="F120" s="10" t="s">
        <v>102</v>
      </c>
      <c r="G120" s="9" t="s">
        <v>11</v>
      </c>
    </row>
    <row r="121" spans="1:7" ht="12.75">
      <c r="A121" s="38" t="s">
        <v>229</v>
      </c>
      <c r="B121" s="39"/>
      <c r="C121" s="9" t="s">
        <v>102</v>
      </c>
      <c r="D121" s="9" t="s">
        <v>102</v>
      </c>
      <c r="E121" s="10" t="s">
        <v>58</v>
      </c>
      <c r="F121" s="10" t="s">
        <v>102</v>
      </c>
      <c r="G121" s="9" t="s">
        <v>11</v>
      </c>
    </row>
    <row r="122" spans="1:7" ht="12.75">
      <c r="A122" s="37" t="s">
        <v>230</v>
      </c>
      <c r="B122" s="9" t="str">
        <f>HYPERLINK("http://www.generation-msx.nl/msxdb/softwareinfo/2853"," Lien")</f>
        <v> Lien</v>
      </c>
      <c r="C122" s="9">
        <v>1988</v>
      </c>
      <c r="D122" s="9" t="s">
        <v>135</v>
      </c>
      <c r="E122" s="10" t="s">
        <v>58</v>
      </c>
      <c r="F122" s="10" t="s">
        <v>10</v>
      </c>
      <c r="G122" s="9" t="s">
        <v>11</v>
      </c>
    </row>
    <row r="123" spans="1:7" ht="12.75">
      <c r="A123" s="37" t="s">
        <v>231</v>
      </c>
      <c r="B123" s="9" t="str">
        <f>HYPERLINK("http://www.generation-msx.nl/msxdb/softwareinfo/3347"," Lien")</f>
        <v> Lien</v>
      </c>
      <c r="C123" s="9">
        <v>1988</v>
      </c>
      <c r="D123" s="9" t="s">
        <v>232</v>
      </c>
      <c r="E123" s="10" t="s">
        <v>233</v>
      </c>
      <c r="F123" s="10" t="s">
        <v>10</v>
      </c>
      <c r="G123" s="9" t="s">
        <v>11</v>
      </c>
    </row>
    <row r="124" spans="1:7" ht="12.75">
      <c r="A124" s="37" t="s">
        <v>234</v>
      </c>
      <c r="B124" s="9" t="str">
        <f>HYPERLINK("http://www.generation-msx.nl/msxdb/softwareinfo/3172"," Lien")</f>
        <v> Lien</v>
      </c>
      <c r="C124" s="9">
        <v>1985</v>
      </c>
      <c r="D124" s="9" t="s">
        <v>208</v>
      </c>
      <c r="E124" s="10" t="s">
        <v>58</v>
      </c>
      <c r="F124" s="41" t="s">
        <v>209</v>
      </c>
      <c r="G124" s="9" t="s">
        <v>11</v>
      </c>
    </row>
    <row r="125" spans="1:7" ht="12.75">
      <c r="A125" s="37" t="s">
        <v>235</v>
      </c>
      <c r="B125" s="9" t="str">
        <f>HYPERLINK("http://www.generation-msx.nl/msxdb/softwareinfo/2101"," Lien")</f>
        <v> Lien</v>
      </c>
      <c r="C125" s="9" t="s">
        <v>102</v>
      </c>
      <c r="D125" s="9" t="s">
        <v>236</v>
      </c>
      <c r="E125" s="10" t="s">
        <v>17</v>
      </c>
      <c r="F125" s="10" t="s">
        <v>10</v>
      </c>
      <c r="G125" s="9" t="s">
        <v>11</v>
      </c>
    </row>
    <row r="126" spans="1:7" ht="12.75">
      <c r="A126" s="42" t="s">
        <v>237</v>
      </c>
      <c r="B126" s="13" t="str">
        <f>HYPERLINK("http://www.generation-msx.nl/msxdb/softwareinfo/476"," Lien")</f>
        <v> Lien</v>
      </c>
      <c r="C126" s="13">
        <v>1984</v>
      </c>
      <c r="D126" s="13" t="s">
        <v>62</v>
      </c>
      <c r="E126" s="14" t="s">
        <v>17</v>
      </c>
      <c r="F126" s="14" t="s">
        <v>21</v>
      </c>
      <c r="G126" s="13" t="s">
        <v>18</v>
      </c>
    </row>
    <row r="127" spans="1:7" ht="12.75">
      <c r="A127" s="42" t="s">
        <v>238</v>
      </c>
      <c r="B127" s="13" t="str">
        <f>HYPERLINK("http://www.generation-msx.nl/msxdb/softwareinfo/256"," Lien")</f>
        <v> Lien</v>
      </c>
      <c r="C127" s="13">
        <v>1984</v>
      </c>
      <c r="D127" s="13" t="s">
        <v>239</v>
      </c>
      <c r="E127" s="14" t="s">
        <v>17</v>
      </c>
      <c r="F127" s="14" t="s">
        <v>21</v>
      </c>
      <c r="G127" s="13" t="s">
        <v>18</v>
      </c>
    </row>
    <row r="128" spans="1:7" ht="12.75">
      <c r="A128" s="37" t="s">
        <v>240</v>
      </c>
      <c r="B128" s="9" t="str">
        <f>HYPERLINK("http://www.generation-msx.nl/msxdb/softwareinfo/671"," Lien")</f>
        <v> Lien</v>
      </c>
      <c r="C128" s="9">
        <v>1984</v>
      </c>
      <c r="D128" s="9" t="s">
        <v>26</v>
      </c>
      <c r="E128" s="10" t="s">
        <v>17</v>
      </c>
      <c r="F128" s="41" t="s">
        <v>241</v>
      </c>
      <c r="G128" s="9" t="s">
        <v>11</v>
      </c>
    </row>
    <row r="129" spans="1:7" ht="12.75">
      <c r="A129" s="42" t="s">
        <v>242</v>
      </c>
      <c r="B129" s="13" t="str">
        <f>HYPERLINK("http://www.generation-msx.nl/msxdb/softwareinfo/997"," Lien")</f>
        <v> Lien</v>
      </c>
      <c r="C129" s="13">
        <v>1986</v>
      </c>
      <c r="D129" s="13" t="s">
        <v>243</v>
      </c>
      <c r="E129" s="14" t="s">
        <v>110</v>
      </c>
      <c r="F129" s="14" t="s">
        <v>27</v>
      </c>
      <c r="G129" s="13" t="s">
        <v>18</v>
      </c>
    </row>
    <row r="130" spans="1:7" ht="12.75">
      <c r="A130" s="42" t="s">
        <v>244</v>
      </c>
      <c r="B130" s="13" t="str">
        <f>HYPERLINK("http://www.generation-msx.nl/msxdb/softwareinfo/3163"," Lien")</f>
        <v> Lien</v>
      </c>
      <c r="C130" s="13">
        <v>1989</v>
      </c>
      <c r="D130" s="13" t="s">
        <v>243</v>
      </c>
      <c r="E130" s="14" t="s">
        <v>110</v>
      </c>
      <c r="F130" s="14" t="s">
        <v>10</v>
      </c>
      <c r="G130" s="13" t="s">
        <v>18</v>
      </c>
    </row>
    <row r="131" spans="1:7" ht="12.75">
      <c r="A131" s="35" t="s">
        <v>245</v>
      </c>
      <c r="B131" s="9" t="str">
        <f>HYPERLINK("http://www.generation-msx.nl/msxdb/softwareinfo/829"," Lien")</f>
        <v> Lien</v>
      </c>
      <c r="C131" s="9">
        <v>1986</v>
      </c>
      <c r="D131" s="9" t="s">
        <v>246</v>
      </c>
      <c r="E131" s="10" t="s">
        <v>233</v>
      </c>
      <c r="F131" s="10" t="s">
        <v>21</v>
      </c>
      <c r="G131" s="9" t="s">
        <v>11</v>
      </c>
    </row>
    <row r="132" spans="1:7" ht="12.75">
      <c r="A132" s="42" t="s">
        <v>247</v>
      </c>
      <c r="B132" s="13" t="str">
        <f>HYPERLINK("http://www.generation-msx.nl/msxdb/softwareinfo/2993"," Lien")</f>
        <v> Lien</v>
      </c>
      <c r="C132" s="13">
        <v>1985</v>
      </c>
      <c r="D132" s="13" t="s">
        <v>45</v>
      </c>
      <c r="E132" s="14" t="s">
        <v>24</v>
      </c>
      <c r="F132" s="43" t="s">
        <v>178</v>
      </c>
      <c r="G132" s="13" t="s">
        <v>18</v>
      </c>
    </row>
    <row r="133" spans="1:7" ht="12.75">
      <c r="A133" s="40" t="s">
        <v>248</v>
      </c>
      <c r="B133" s="13" t="str">
        <f>HYPERLINK("http://www.generation-msx.nl/msxdb/softwareinfo/271"," Lien")</f>
        <v> Lien</v>
      </c>
      <c r="C133" s="13">
        <v>1984</v>
      </c>
      <c r="D133" s="13" t="s">
        <v>206</v>
      </c>
      <c r="E133" s="14" t="s">
        <v>24</v>
      </c>
      <c r="F133" s="14" t="s">
        <v>21</v>
      </c>
      <c r="G133" s="13" t="s">
        <v>18</v>
      </c>
    </row>
    <row r="134" spans="1:7" ht="12.75">
      <c r="A134" s="37" t="s">
        <v>249</v>
      </c>
      <c r="B134" s="9" t="str">
        <f>HYPERLINK("http://www.generation-msx.nl/msxdb/softwareinfo/3141"," Lien")</f>
        <v> Lien</v>
      </c>
      <c r="C134" s="9">
        <v>1985</v>
      </c>
      <c r="D134" s="9" t="s">
        <v>250</v>
      </c>
      <c r="E134" s="10" t="s">
        <v>251</v>
      </c>
      <c r="F134" s="10" t="s">
        <v>10</v>
      </c>
      <c r="G134" s="9" t="s">
        <v>11</v>
      </c>
    </row>
    <row r="135" spans="1:7" ht="12.75">
      <c r="A135" s="35" t="s">
        <v>252</v>
      </c>
      <c r="B135" s="9" t="str">
        <f>HYPERLINK("http://www.generation-msx.nl/msxdb/softwareinfo/58"," Lien")</f>
        <v> Lien</v>
      </c>
      <c r="C135" s="9">
        <v>1984</v>
      </c>
      <c r="D135" s="9" t="s">
        <v>29</v>
      </c>
      <c r="E135" s="10" t="s">
        <v>24</v>
      </c>
      <c r="F135" s="44" t="s">
        <v>27</v>
      </c>
      <c r="G135" s="9" t="s">
        <v>11</v>
      </c>
    </row>
    <row r="136" spans="1:7" ht="12.75">
      <c r="A136" s="40" t="s">
        <v>253</v>
      </c>
      <c r="B136" s="13" t="str">
        <f>HYPERLINK("http://www.generation-msx.nl/msxdb/softwareinfo/1798"," Lien")</f>
        <v> Lien</v>
      </c>
      <c r="C136" s="13">
        <v>1984</v>
      </c>
      <c r="D136" s="45" t="s">
        <v>254</v>
      </c>
      <c r="E136" s="14" t="s">
        <v>58</v>
      </c>
      <c r="F136" s="14" t="s">
        <v>21</v>
      </c>
      <c r="G136" s="13" t="s">
        <v>18</v>
      </c>
    </row>
    <row r="137" spans="1:7" ht="12.75">
      <c r="A137" s="40" t="s">
        <v>255</v>
      </c>
      <c r="B137" s="13" t="str">
        <f>HYPERLINK("http://www.generation-msx.nl/msxdb/softwareinfo/2601"," Lien")</f>
        <v> Lien</v>
      </c>
      <c r="C137" s="13">
        <v>1985</v>
      </c>
      <c r="D137" s="13" t="s">
        <v>256</v>
      </c>
      <c r="E137" s="14" t="s">
        <v>58</v>
      </c>
      <c r="F137" s="14" t="s">
        <v>27</v>
      </c>
      <c r="G137" s="13" t="s">
        <v>18</v>
      </c>
    </row>
    <row r="138" spans="1:7" ht="12.75">
      <c r="A138" s="42" t="s">
        <v>257</v>
      </c>
      <c r="B138" s="13" t="str">
        <f>HYPERLINK("http://www.generation-msx.nl/msxdb/softwareinfo/2779"," Lien")</f>
        <v> Lien</v>
      </c>
      <c r="C138" s="13">
        <v>1985</v>
      </c>
      <c r="D138" s="13" t="s">
        <v>258</v>
      </c>
      <c r="E138" s="14" t="s">
        <v>9</v>
      </c>
      <c r="F138" s="14" t="s">
        <v>10</v>
      </c>
      <c r="G138" s="13" t="s">
        <v>18</v>
      </c>
    </row>
    <row r="139" spans="1:7" ht="12.75">
      <c r="A139" s="38" t="s">
        <v>259</v>
      </c>
      <c r="B139" s="39"/>
      <c r="C139" s="9" t="s">
        <v>102</v>
      </c>
      <c r="D139" s="9" t="s">
        <v>102</v>
      </c>
      <c r="E139" s="10" t="s">
        <v>58</v>
      </c>
      <c r="F139" s="10" t="s">
        <v>102</v>
      </c>
      <c r="G139" s="9" t="s">
        <v>11</v>
      </c>
    </row>
    <row r="140" spans="1:7" ht="12.75">
      <c r="A140" s="42" t="s">
        <v>260</v>
      </c>
      <c r="B140" s="13" t="str">
        <f>HYPERLINK("http://www.generation-msx.nl/msxdb/softwareinfo/281"," Lien")</f>
        <v> Lien</v>
      </c>
      <c r="C140" s="13">
        <v>1984</v>
      </c>
      <c r="D140" s="13" t="s">
        <v>109</v>
      </c>
      <c r="E140" s="14" t="s">
        <v>24</v>
      </c>
      <c r="F140" s="14" t="s">
        <v>27</v>
      </c>
      <c r="G140" s="13" t="s">
        <v>18</v>
      </c>
    </row>
    <row r="141" spans="1:7" ht="12.75">
      <c r="A141" s="38" t="s">
        <v>261</v>
      </c>
      <c r="B141" s="39"/>
      <c r="C141" s="9" t="s">
        <v>102</v>
      </c>
      <c r="D141" s="9" t="s">
        <v>102</v>
      </c>
      <c r="E141" s="10" t="s">
        <v>9</v>
      </c>
      <c r="F141" s="10" t="s">
        <v>102</v>
      </c>
      <c r="G141" s="9" t="s">
        <v>11</v>
      </c>
    </row>
    <row r="142" spans="1:7" ht="12.75">
      <c r="A142" s="42" t="s">
        <v>262</v>
      </c>
      <c r="B142" s="13" t="str">
        <f>HYPERLINK("http://www.generation-msx.nl/msxdb/softwareinfo/59"," Lien")</f>
        <v> Lien</v>
      </c>
      <c r="C142" s="13">
        <v>1983</v>
      </c>
      <c r="D142" s="13" t="s">
        <v>263</v>
      </c>
      <c r="E142" s="14" t="s">
        <v>58</v>
      </c>
      <c r="F142" s="14" t="s">
        <v>21</v>
      </c>
      <c r="G142" s="13" t="s">
        <v>18</v>
      </c>
    </row>
    <row r="143" spans="1:7" ht="12.75">
      <c r="A143" s="37" t="s">
        <v>264</v>
      </c>
      <c r="B143" s="9" t="str">
        <f>HYPERLINK("http://www.konamito.com/ficha/?id=1831"," Lien")</f>
        <v> Lien</v>
      </c>
      <c r="C143" s="9">
        <v>2007</v>
      </c>
      <c r="D143" s="9" t="s">
        <v>265</v>
      </c>
      <c r="E143" s="10" t="s">
        <v>266</v>
      </c>
      <c r="F143" s="10" t="s">
        <v>21</v>
      </c>
      <c r="G143" s="9" t="s">
        <v>11</v>
      </c>
    </row>
    <row r="144" spans="1:7" ht="12.75">
      <c r="A144" s="37" t="s">
        <v>267</v>
      </c>
      <c r="B144" s="9" t="str">
        <f>HYPERLINK("http://www.generation-msx.nl/msxdb/softwareinfo/3489"," Lien")</f>
        <v> Lien</v>
      </c>
      <c r="C144" s="9" t="s">
        <v>102</v>
      </c>
      <c r="D144" s="9" t="s">
        <v>268</v>
      </c>
      <c r="E144" s="10" t="s">
        <v>67</v>
      </c>
      <c r="F144" s="10" t="s">
        <v>10</v>
      </c>
      <c r="G144" s="9" t="s">
        <v>11</v>
      </c>
    </row>
    <row r="145" spans="1:7" ht="12.75">
      <c r="A145" s="37" t="s">
        <v>269</v>
      </c>
      <c r="B145" s="9" t="str">
        <f>HYPERLINK("http://www.generation-msx.nl/msxdb/softwareinfo/2114"," Lien")</f>
        <v> Lien</v>
      </c>
      <c r="C145" s="9">
        <v>1989</v>
      </c>
      <c r="D145" s="9" t="s">
        <v>73</v>
      </c>
      <c r="E145" s="10" t="s">
        <v>58</v>
      </c>
      <c r="F145" s="10" t="s">
        <v>10</v>
      </c>
      <c r="G145" s="9" t="s">
        <v>11</v>
      </c>
    </row>
    <row r="146" spans="1:7" ht="12.75">
      <c r="A146" s="42" t="s">
        <v>270</v>
      </c>
      <c r="B146" s="13" t="str">
        <f>HYPERLINK("http://www.konamito.com/ficha/?id=2233"," Lien")</f>
        <v> Lien</v>
      </c>
      <c r="C146" s="13">
        <v>2007</v>
      </c>
      <c r="D146" s="46" t="s">
        <v>271</v>
      </c>
      <c r="E146" s="14" t="s">
        <v>272</v>
      </c>
      <c r="F146" s="14" t="s">
        <v>21</v>
      </c>
      <c r="G146" s="13" t="s">
        <v>18</v>
      </c>
    </row>
    <row r="147" spans="1:7" ht="12.75">
      <c r="A147" s="37" t="s">
        <v>273</v>
      </c>
      <c r="B147" s="9" t="str">
        <f>HYPERLINK("http://www.konamito.com/ficha/?id=1824"," Lien")</f>
        <v> Lien</v>
      </c>
      <c r="C147" s="9">
        <v>2005</v>
      </c>
      <c r="D147" s="47" t="s">
        <v>274</v>
      </c>
      <c r="E147" s="10" t="s">
        <v>275</v>
      </c>
      <c r="F147" s="10" t="s">
        <v>21</v>
      </c>
      <c r="G147" s="9" t="s">
        <v>11</v>
      </c>
    </row>
    <row r="148" spans="1:7" ht="12.75">
      <c r="A148" s="35" t="s">
        <v>276</v>
      </c>
      <c r="B148" s="9" t="str">
        <f>HYPERLINK("http://www.generation-msx.nl/msxdb/softwareinfo/146"," Lien")</f>
        <v> Lien</v>
      </c>
      <c r="C148" s="9">
        <v>1984</v>
      </c>
      <c r="D148" s="9" t="s">
        <v>277</v>
      </c>
      <c r="E148" s="10" t="s">
        <v>9</v>
      </c>
      <c r="F148" s="10" t="s">
        <v>21</v>
      </c>
      <c r="G148" s="9" t="s">
        <v>11</v>
      </c>
    </row>
    <row r="149" spans="1:7" ht="12.75">
      <c r="A149" s="38" t="s">
        <v>278</v>
      </c>
      <c r="B149" s="39"/>
      <c r="C149" s="9" t="s">
        <v>102</v>
      </c>
      <c r="D149" s="9" t="s">
        <v>279</v>
      </c>
      <c r="E149" s="10" t="s">
        <v>280</v>
      </c>
      <c r="F149" s="10" t="s">
        <v>10</v>
      </c>
      <c r="G149" s="9" t="s">
        <v>11</v>
      </c>
    </row>
    <row r="150" spans="1:7" ht="12.75">
      <c r="A150" s="40" t="s">
        <v>281</v>
      </c>
      <c r="B150" s="13" t="str">
        <f>HYPERLINK("http://www.generation-msx.nl/msxdb/softwareinfo/260"," Lien")</f>
        <v> Lien</v>
      </c>
      <c r="C150" s="13">
        <v>1984</v>
      </c>
      <c r="D150" s="13" t="s">
        <v>282</v>
      </c>
      <c r="E150" s="14" t="s">
        <v>58</v>
      </c>
      <c r="F150" s="14" t="s">
        <v>27</v>
      </c>
      <c r="G150" s="13" t="s">
        <v>18</v>
      </c>
    </row>
    <row r="151" spans="1:7" ht="12.75">
      <c r="A151" s="38" t="s">
        <v>283</v>
      </c>
      <c r="B151" s="39"/>
      <c r="C151" s="9">
        <v>1985</v>
      </c>
      <c r="D151" s="9" t="s">
        <v>284</v>
      </c>
      <c r="E151" s="10" t="s">
        <v>67</v>
      </c>
      <c r="F151" s="10" t="s">
        <v>102</v>
      </c>
      <c r="G151" s="9" t="s">
        <v>11</v>
      </c>
    </row>
    <row r="152" spans="1:7" ht="12.75">
      <c r="A152" s="37" t="s">
        <v>285</v>
      </c>
      <c r="B152" s="9" t="str">
        <f>HYPERLINK("http://www.generation-msx.nl/msxdb/softwareinfo/3248"," Lien")</f>
        <v> Lien</v>
      </c>
      <c r="C152" s="9" t="s">
        <v>102</v>
      </c>
      <c r="D152" s="9" t="s">
        <v>286</v>
      </c>
      <c r="E152" s="10" t="s">
        <v>58</v>
      </c>
      <c r="F152" s="10" t="s">
        <v>10</v>
      </c>
      <c r="G152" s="9" t="s">
        <v>11</v>
      </c>
    </row>
    <row r="153" spans="1:7" ht="12.75">
      <c r="A153" s="37" t="s">
        <v>287</v>
      </c>
      <c r="B153" s="9" t="str">
        <f>HYPERLINK("http://www.generation-msx.nl/msxdb/softwareinfo/756"," Lien")</f>
        <v> Lien</v>
      </c>
      <c r="C153" s="9">
        <v>1986</v>
      </c>
      <c r="D153" s="9" t="s">
        <v>144</v>
      </c>
      <c r="E153" s="10" t="s">
        <v>43</v>
      </c>
      <c r="F153" s="10" t="s">
        <v>10</v>
      </c>
      <c r="G153" s="9" t="s">
        <v>11</v>
      </c>
    </row>
    <row r="154" spans="1:7" ht="12.75">
      <c r="A154" s="37" t="s">
        <v>288</v>
      </c>
      <c r="B154" s="9" t="str">
        <f>HYPERLINK("http://www.generation-msx.nl/msxdb/softwareinfo/2296"," Lien")</f>
        <v> Lien</v>
      </c>
      <c r="C154" s="9">
        <v>1988</v>
      </c>
      <c r="D154" s="9" t="s">
        <v>113</v>
      </c>
      <c r="E154" s="10" t="s">
        <v>9</v>
      </c>
      <c r="F154" s="10" t="s">
        <v>10</v>
      </c>
      <c r="G154" s="9" t="s">
        <v>11</v>
      </c>
    </row>
    <row r="155" spans="1:7" ht="12.75">
      <c r="A155" s="37" t="s">
        <v>289</v>
      </c>
      <c r="B155" s="9" t="str">
        <f>HYPERLINK("http://www.generation-msx.nl/msxdb/softwareinfo/3401"," Lien")</f>
        <v> Lien</v>
      </c>
      <c r="C155" s="9">
        <v>1984</v>
      </c>
      <c r="D155" s="9" t="s">
        <v>268</v>
      </c>
      <c r="E155" s="10" t="s">
        <v>40</v>
      </c>
      <c r="F155" s="10" t="s">
        <v>21</v>
      </c>
      <c r="G155" s="9" t="s">
        <v>11</v>
      </c>
    </row>
    <row r="156" spans="1:7" ht="12.75">
      <c r="A156" s="37" t="s">
        <v>289</v>
      </c>
      <c r="B156" s="9" t="str">
        <f>HYPERLINK("http://www.generation-msx.nl/msxdb/softwareinfo/2355"," Lien")</f>
        <v> Lien</v>
      </c>
      <c r="C156" s="9">
        <v>1985</v>
      </c>
      <c r="D156" s="9" t="s">
        <v>167</v>
      </c>
      <c r="E156" s="10" t="s">
        <v>40</v>
      </c>
      <c r="F156" s="10" t="s">
        <v>10</v>
      </c>
      <c r="G156" s="9" t="s">
        <v>11</v>
      </c>
    </row>
    <row r="157" spans="1:7" ht="12.75">
      <c r="A157" s="35" t="s">
        <v>290</v>
      </c>
      <c r="B157" s="9" t="str">
        <f>HYPERLINK("http://www.generation-msx.nl/msxdb/softwareinfo/625"," Lien")</f>
        <v> Lien</v>
      </c>
      <c r="C157" s="9">
        <v>1985</v>
      </c>
      <c r="D157" s="9" t="s">
        <v>23</v>
      </c>
      <c r="E157" s="10" t="s">
        <v>291</v>
      </c>
      <c r="F157" s="10" t="s">
        <v>21</v>
      </c>
      <c r="G157" s="9" t="s">
        <v>11</v>
      </c>
    </row>
    <row r="158" spans="1:7" ht="12.75">
      <c r="A158" s="35" t="s">
        <v>292</v>
      </c>
      <c r="B158" s="9" t="str">
        <f>HYPERLINK("http://www.generation-msx.nl/msxdb/softwareinfo/841"," Lien")</f>
        <v> Lien</v>
      </c>
      <c r="C158" s="9">
        <v>1986</v>
      </c>
      <c r="D158" s="9" t="s">
        <v>23</v>
      </c>
      <c r="E158" s="10" t="s">
        <v>291</v>
      </c>
      <c r="F158" s="10" t="s">
        <v>21</v>
      </c>
      <c r="G158" s="9" t="s">
        <v>11</v>
      </c>
    </row>
    <row r="159" spans="1:7" ht="12.75">
      <c r="A159" s="40" t="s">
        <v>293</v>
      </c>
      <c r="B159" s="13" t="str">
        <f>HYPERLINK("http://www.generation-msx.nl/msxdb/softwareinfo/840"," Lien")</f>
        <v> Lien</v>
      </c>
      <c r="C159" s="13">
        <v>1984</v>
      </c>
      <c r="D159" s="13" t="s">
        <v>32</v>
      </c>
      <c r="E159" s="14" t="s">
        <v>51</v>
      </c>
      <c r="F159" s="14" t="s">
        <v>27</v>
      </c>
      <c r="G159" s="13" t="s">
        <v>18</v>
      </c>
    </row>
    <row r="160" spans="1:7" ht="12.75">
      <c r="A160" s="37" t="s">
        <v>294</v>
      </c>
      <c r="B160" s="9" t="str">
        <f>HYPERLINK("http://www.generation-msx.nl/msxdb/softwareinfo/3155"," Lien")</f>
        <v> Lien</v>
      </c>
      <c r="C160" s="9">
        <v>1987</v>
      </c>
      <c r="D160" s="9" t="s">
        <v>295</v>
      </c>
      <c r="E160" s="10" t="s">
        <v>24</v>
      </c>
      <c r="F160" s="10" t="s">
        <v>10</v>
      </c>
      <c r="G160" s="9" t="s">
        <v>11</v>
      </c>
    </row>
    <row r="161" spans="1:7" ht="12.75">
      <c r="A161" s="42" t="s">
        <v>296</v>
      </c>
      <c r="B161" s="13" t="str">
        <f>HYPERLINK("http://www.generation-msx.nl/msxdb/softwareinfo/2371"," Lien")</f>
        <v> Lien</v>
      </c>
      <c r="C161" s="13">
        <v>1990</v>
      </c>
      <c r="D161" s="13" t="s">
        <v>297</v>
      </c>
      <c r="E161" s="14" t="s">
        <v>275</v>
      </c>
      <c r="F161" s="14" t="s">
        <v>21</v>
      </c>
      <c r="G161" s="13" t="s">
        <v>18</v>
      </c>
    </row>
    <row r="162" spans="1:7" ht="12.75">
      <c r="A162" s="40" t="s">
        <v>298</v>
      </c>
      <c r="B162" s="13" t="str">
        <f>HYPERLINK("http://www.generation-msx.nl/msxdb/softwareinfo/631"," Lien")</f>
        <v> Lien</v>
      </c>
      <c r="C162" s="13">
        <v>1984</v>
      </c>
      <c r="D162" s="13" t="s">
        <v>60</v>
      </c>
      <c r="E162" s="14" t="s">
        <v>24</v>
      </c>
      <c r="F162" s="14" t="s">
        <v>21</v>
      </c>
      <c r="G162" s="13" t="s">
        <v>18</v>
      </c>
    </row>
    <row r="163" spans="1:7" ht="12.75">
      <c r="A163" s="37" t="s">
        <v>299</v>
      </c>
      <c r="B163" s="9" t="str">
        <f>HYPERLINK("http://www.generation-msx.nl/msxdb/softwareinfo/3287"," Lien")</f>
        <v> Lien</v>
      </c>
      <c r="C163" s="9" t="s">
        <v>102</v>
      </c>
      <c r="D163" s="48" t="s">
        <v>300</v>
      </c>
      <c r="E163" s="10" t="s">
        <v>58</v>
      </c>
      <c r="F163" s="10" t="s">
        <v>10</v>
      </c>
      <c r="G163" s="9" t="s">
        <v>11</v>
      </c>
    </row>
    <row r="164" spans="1:7" ht="12.75">
      <c r="A164" s="37" t="s">
        <v>301</v>
      </c>
      <c r="B164" s="9" t="str">
        <f>HYPERLINK("http://www.generation-msx.nl/msxdb/softwareinfo/2271"," Lien")</f>
        <v> Lien</v>
      </c>
      <c r="C164" s="9">
        <v>1987</v>
      </c>
      <c r="D164" s="9" t="s">
        <v>302</v>
      </c>
      <c r="E164" s="10" t="s">
        <v>58</v>
      </c>
      <c r="F164" s="10" t="s">
        <v>10</v>
      </c>
      <c r="G164" s="9" t="s">
        <v>11</v>
      </c>
    </row>
    <row r="165" spans="1:7" ht="12.75">
      <c r="A165" s="37" t="s">
        <v>303</v>
      </c>
      <c r="B165" s="9" t="str">
        <f>HYPERLINK("http://www.generation-msx.nl/msxdb/softwareinfo/2449"," Lien")</f>
        <v> Lien</v>
      </c>
      <c r="C165" s="9">
        <v>1988</v>
      </c>
      <c r="D165" s="9" t="s">
        <v>177</v>
      </c>
      <c r="E165" s="10" t="s">
        <v>9</v>
      </c>
      <c r="F165" s="10" t="s">
        <v>178</v>
      </c>
      <c r="G165" s="9" t="s">
        <v>11</v>
      </c>
    </row>
    <row r="166" spans="1:7" ht="12.75">
      <c r="A166" s="37" t="s">
        <v>304</v>
      </c>
      <c r="B166" s="9" t="str">
        <f>HYPERLINK("http://www.konamito.com/ficha/?id=968"," Lien")</f>
        <v> Lien</v>
      </c>
      <c r="C166" s="9" t="s">
        <v>102</v>
      </c>
      <c r="D166" s="9" t="s">
        <v>102</v>
      </c>
      <c r="E166" s="10" t="s">
        <v>272</v>
      </c>
      <c r="F166" s="10" t="s">
        <v>102</v>
      </c>
      <c r="G166" s="9" t="s">
        <v>11</v>
      </c>
    </row>
    <row r="167" spans="1:7" ht="12.75">
      <c r="A167" s="49" t="s">
        <v>305</v>
      </c>
      <c r="B167" s="13" t="str">
        <f>HYPERLINK("http://www.konamito.com/ficha/?id=2627"," Lien")</f>
        <v> Lien</v>
      </c>
      <c r="C167" s="13">
        <v>2005</v>
      </c>
      <c r="D167" s="13" t="s">
        <v>306</v>
      </c>
      <c r="E167" s="14" t="s">
        <v>307</v>
      </c>
      <c r="F167" s="14" t="s">
        <v>21</v>
      </c>
      <c r="G167" s="13" t="s">
        <v>18</v>
      </c>
    </row>
    <row r="168" spans="1:7" ht="12.75">
      <c r="A168" s="37" t="s">
        <v>308</v>
      </c>
      <c r="B168" s="9" t="str">
        <f>HYPERLINK("http://www.generation-msx.nl/msxdb/softwareinfo/2961"," Lien")</f>
        <v> Lien</v>
      </c>
      <c r="C168" s="9">
        <v>1985</v>
      </c>
      <c r="D168" s="9" t="s">
        <v>309</v>
      </c>
      <c r="E168" s="10" t="s">
        <v>67</v>
      </c>
      <c r="F168" s="10" t="s">
        <v>10</v>
      </c>
      <c r="G168" s="9" t="s">
        <v>11</v>
      </c>
    </row>
    <row r="169" spans="1:7" ht="12.75">
      <c r="A169" s="42" t="s">
        <v>310</v>
      </c>
      <c r="B169" s="13" t="str">
        <f>HYPERLINK("http://www.generation-msx.nl/msxdb/softwareinfo/2435"," Lien")</f>
        <v> Lien</v>
      </c>
      <c r="C169" s="13">
        <v>1986</v>
      </c>
      <c r="D169" s="13" t="s">
        <v>311</v>
      </c>
      <c r="E169" s="14" t="s">
        <v>17</v>
      </c>
      <c r="F169" s="14" t="s">
        <v>10</v>
      </c>
      <c r="G169" s="13" t="s">
        <v>18</v>
      </c>
    </row>
    <row r="170" spans="1:7" ht="12.75">
      <c r="A170" s="42" t="s">
        <v>312</v>
      </c>
      <c r="B170" s="13" t="str">
        <f>HYPERLINK("http://www.generation-msx.nl/msxdb/softwareinfo/2869"," Lien")</f>
        <v> Lien</v>
      </c>
      <c r="C170" s="13">
        <v>1985</v>
      </c>
      <c r="D170" s="13" t="s">
        <v>313</v>
      </c>
      <c r="E170" s="14" t="s">
        <v>314</v>
      </c>
      <c r="F170" s="14" t="s">
        <v>10</v>
      </c>
      <c r="G170" s="13" t="s">
        <v>18</v>
      </c>
    </row>
    <row r="171" spans="1:7" ht="12.75">
      <c r="A171" s="37" t="s">
        <v>315</v>
      </c>
      <c r="B171" s="9" t="str">
        <f>HYPERLINK("http://www.generation-msx.nl/msxdb/softwareinfo/3308"," Lien")</f>
        <v> Lien</v>
      </c>
      <c r="C171" s="9">
        <v>1986</v>
      </c>
      <c r="D171" s="9" t="s">
        <v>302</v>
      </c>
      <c r="E171" s="10" t="s">
        <v>9</v>
      </c>
      <c r="F171" s="10" t="s">
        <v>10</v>
      </c>
      <c r="G171" s="9" t="s">
        <v>11</v>
      </c>
    </row>
    <row r="172" spans="1:7" ht="12.75">
      <c r="A172" s="42" t="s">
        <v>316</v>
      </c>
      <c r="B172" s="13" t="str">
        <f>HYPERLINK("http://www.generation-msx.nl/msxdb/softwareinfo/319"," Lien")</f>
        <v> Lien</v>
      </c>
      <c r="C172" s="13">
        <v>1984</v>
      </c>
      <c r="D172" s="13" t="s">
        <v>317</v>
      </c>
      <c r="E172" s="14" t="s">
        <v>58</v>
      </c>
      <c r="F172" s="14" t="s">
        <v>21</v>
      </c>
      <c r="G172" s="13" t="s">
        <v>18</v>
      </c>
    </row>
    <row r="173" spans="1:7" ht="12.75">
      <c r="A173" s="35" t="s">
        <v>318</v>
      </c>
      <c r="B173" s="9" t="str">
        <f>HYPERLINK("http://www.generation-msx.nl/msxdb/softwareinfo/2191"," Lien")</f>
        <v> Lien</v>
      </c>
      <c r="C173" s="9">
        <v>1985</v>
      </c>
      <c r="D173" s="9" t="s">
        <v>319</v>
      </c>
      <c r="E173" s="10" t="s">
        <v>9</v>
      </c>
      <c r="F173" s="10" t="s">
        <v>27</v>
      </c>
      <c r="G173" s="9" t="s">
        <v>11</v>
      </c>
    </row>
    <row r="174" spans="1:7" ht="12.75">
      <c r="A174" s="40" t="s">
        <v>320</v>
      </c>
      <c r="B174" s="13" t="str">
        <f>HYPERLINK("http://www.generation-msx.nl/msxdb/softwareinfo/320"," Lien")</f>
        <v> Lien</v>
      </c>
      <c r="C174" s="13">
        <v>1984</v>
      </c>
      <c r="D174" s="13" t="s">
        <v>23</v>
      </c>
      <c r="E174" s="14" t="s">
        <v>321</v>
      </c>
      <c r="F174" s="14" t="s">
        <v>21</v>
      </c>
      <c r="G174" s="13" t="s">
        <v>18</v>
      </c>
    </row>
    <row r="175" spans="1:7" ht="12.75">
      <c r="A175" s="37" t="s">
        <v>322</v>
      </c>
      <c r="B175" s="9" t="str">
        <f>HYPERLINK("http://www.konamito.com/ficha/?id=1996"," Lien")</f>
        <v> Lien</v>
      </c>
      <c r="C175" s="9" t="s">
        <v>102</v>
      </c>
      <c r="D175" s="9" t="s">
        <v>102</v>
      </c>
      <c r="E175" s="10" t="s">
        <v>323</v>
      </c>
      <c r="F175" s="10" t="s">
        <v>102</v>
      </c>
      <c r="G175" s="9" t="s">
        <v>11</v>
      </c>
    </row>
    <row r="176" spans="1:7" ht="12.75">
      <c r="A176" s="35" t="s">
        <v>324</v>
      </c>
      <c r="B176" s="9" t="str">
        <f>HYPERLINK("http://msxdev.msxblue.com/msxdev05.htm"," Lien")</f>
        <v> Lien</v>
      </c>
      <c r="C176" s="9">
        <v>2005</v>
      </c>
      <c r="D176" s="9" t="s">
        <v>325</v>
      </c>
      <c r="E176" s="10" t="s">
        <v>58</v>
      </c>
      <c r="F176" s="10" t="s">
        <v>21</v>
      </c>
      <c r="G176" s="9" t="s">
        <v>11</v>
      </c>
    </row>
    <row r="177" spans="1:7" ht="12.75">
      <c r="A177" s="35" t="s">
        <v>326</v>
      </c>
      <c r="B177" s="9" t="str">
        <f>HYPERLINK("http://www.generation-msx.nl/msxdb/softwareinfo/1215"," Lien")</f>
        <v> Lien</v>
      </c>
      <c r="C177" s="9">
        <v>1988</v>
      </c>
      <c r="D177" s="9" t="s">
        <v>26</v>
      </c>
      <c r="E177" s="10" t="s">
        <v>24</v>
      </c>
      <c r="F177" s="10" t="s">
        <v>52</v>
      </c>
      <c r="G177" s="9" t="s">
        <v>11</v>
      </c>
    </row>
    <row r="178" spans="1:7" ht="12.75">
      <c r="A178" s="35" t="s">
        <v>327</v>
      </c>
      <c r="B178" s="9" t="str">
        <f>HYPERLINK("http://www.generation-msx.nl/msxdb/softwareinfo/325"," Lien")</f>
        <v> Lien</v>
      </c>
      <c r="C178" s="9">
        <v>1983</v>
      </c>
      <c r="D178" s="9" t="s">
        <v>26</v>
      </c>
      <c r="E178" s="10" t="s">
        <v>58</v>
      </c>
      <c r="F178" s="10" t="s">
        <v>27</v>
      </c>
      <c r="G178" s="9" t="s">
        <v>11</v>
      </c>
    </row>
    <row r="179" spans="1:7" ht="12.75">
      <c r="A179" s="42" t="s">
        <v>328</v>
      </c>
      <c r="B179" s="13" t="str">
        <f>HYPERLINK("http://www.generation-msx.nl/msxdb/softwareinfo/854"," Lien")</f>
        <v> Lien</v>
      </c>
      <c r="C179" s="13">
        <v>1986</v>
      </c>
      <c r="D179" s="13" t="s">
        <v>26</v>
      </c>
      <c r="E179" s="14" t="s">
        <v>58</v>
      </c>
      <c r="F179" s="14" t="s">
        <v>329</v>
      </c>
      <c r="G179" s="13" t="s">
        <v>18</v>
      </c>
    </row>
    <row r="180" spans="1:7" ht="12.75">
      <c r="A180" s="37" t="s">
        <v>330</v>
      </c>
      <c r="B180" s="9" t="str">
        <f>HYPERLINK("http://www.konamito.com/ficha/?id=1514"," Lien")</f>
        <v> Lien</v>
      </c>
      <c r="C180" s="9">
        <v>1986</v>
      </c>
      <c r="D180" s="9" t="s">
        <v>331</v>
      </c>
      <c r="E180" s="10" t="s">
        <v>55</v>
      </c>
      <c r="F180" s="10" t="s">
        <v>102</v>
      </c>
      <c r="G180" s="9" t="s">
        <v>11</v>
      </c>
    </row>
    <row r="181" spans="1:7" ht="12.75">
      <c r="A181" s="42" t="s">
        <v>332</v>
      </c>
      <c r="B181" s="13" t="str">
        <f>HYPERLINK("http://www.generation-msx.nl/msxdb/softwareinfo/2287"," Lien")</f>
        <v> Lien</v>
      </c>
      <c r="C181" s="13">
        <v>1986</v>
      </c>
      <c r="D181" s="13" t="s">
        <v>333</v>
      </c>
      <c r="E181" s="14" t="s">
        <v>9</v>
      </c>
      <c r="F181" s="14" t="s">
        <v>27</v>
      </c>
      <c r="G181" s="13" t="s">
        <v>18</v>
      </c>
    </row>
    <row r="182" spans="1:7" ht="12.75">
      <c r="A182" s="42" t="s">
        <v>334</v>
      </c>
      <c r="B182" s="13" t="str">
        <f>HYPERLINK("http://www.generation-msx.nl/msxdb/softwareinfo/66"," Lien")</f>
        <v> Lien</v>
      </c>
      <c r="C182" s="13">
        <v>1985</v>
      </c>
      <c r="D182" s="13" t="s">
        <v>335</v>
      </c>
      <c r="E182" s="14" t="s">
        <v>58</v>
      </c>
      <c r="F182" s="14" t="s">
        <v>21</v>
      </c>
      <c r="G182" s="13" t="s">
        <v>18</v>
      </c>
    </row>
    <row r="183" spans="1:7" ht="12.75">
      <c r="A183" s="37" t="s">
        <v>336</v>
      </c>
      <c r="B183" s="9" t="str">
        <f>HYPERLINK("http://www.generation-msx.nl/msxdb/softwareinfo/2383"," Lien")</f>
        <v> Lien</v>
      </c>
      <c r="C183" s="9">
        <v>1985</v>
      </c>
      <c r="D183" s="9" t="s">
        <v>66</v>
      </c>
      <c r="E183" s="10" t="s">
        <v>24</v>
      </c>
      <c r="F183" s="10" t="s">
        <v>27</v>
      </c>
      <c r="G183" s="9" t="s">
        <v>11</v>
      </c>
    </row>
    <row r="184" spans="1:7" ht="12.75">
      <c r="A184" s="35" t="s">
        <v>337</v>
      </c>
      <c r="B184" s="9" t="str">
        <f>HYPERLINK("http://www.generation-msx.nl/msxdb/softwareinfo/292"," Lien")</f>
        <v> Lien</v>
      </c>
      <c r="C184" s="9">
        <v>1984</v>
      </c>
      <c r="D184" s="9" t="s">
        <v>23</v>
      </c>
      <c r="E184" s="10" t="s">
        <v>9</v>
      </c>
      <c r="F184" s="10" t="s">
        <v>21</v>
      </c>
      <c r="G184" s="9" t="s">
        <v>11</v>
      </c>
    </row>
    <row r="185" spans="1:7" ht="12.75">
      <c r="A185" s="37" t="s">
        <v>338</v>
      </c>
      <c r="B185" s="9" t="str">
        <f>HYPERLINK("http://www.generation-msx.nl/msxdb/softwareinfo/2836"," Lien")</f>
        <v> Lien</v>
      </c>
      <c r="C185" s="9">
        <v>1987</v>
      </c>
      <c r="D185" s="9" t="s">
        <v>177</v>
      </c>
      <c r="E185" s="10" t="s">
        <v>9</v>
      </c>
      <c r="F185" s="10" t="s">
        <v>178</v>
      </c>
      <c r="G185" s="9" t="s">
        <v>11</v>
      </c>
    </row>
    <row r="186" spans="1:7" ht="12.75">
      <c r="A186" s="42" t="s">
        <v>339</v>
      </c>
      <c r="B186" s="13" t="str">
        <f>HYPERLINK("http://www.generation-msx.nl/msxdb/softwareinfo/2684"," Lien")</f>
        <v> Lien</v>
      </c>
      <c r="C186" s="13">
        <v>1986</v>
      </c>
      <c r="D186" s="13" t="s">
        <v>340</v>
      </c>
      <c r="E186" s="14" t="s">
        <v>58</v>
      </c>
      <c r="F186" s="14" t="s">
        <v>10</v>
      </c>
      <c r="G186" s="13" t="s">
        <v>18</v>
      </c>
    </row>
    <row r="187" spans="1:7" ht="12.75">
      <c r="A187" s="40" t="s">
        <v>341</v>
      </c>
      <c r="B187" s="13" t="str">
        <f>HYPERLINK("http://www.generation-msx.nl/msxdb/softwareinfo/1015"," Lien")</f>
        <v> Lien</v>
      </c>
      <c r="C187" s="13">
        <v>1987</v>
      </c>
      <c r="D187" s="13" t="s">
        <v>342</v>
      </c>
      <c r="E187" s="14" t="s">
        <v>291</v>
      </c>
      <c r="F187" s="14" t="s">
        <v>52</v>
      </c>
      <c r="G187" s="13" t="s">
        <v>18</v>
      </c>
    </row>
    <row r="188" spans="1:7" ht="12.75">
      <c r="A188" s="34" t="s">
        <v>343</v>
      </c>
      <c r="B188" s="13" t="str">
        <f>HYPERLINK("http://www.generation-msx.nl/msxdb/softwareinfo/321"," Lien")</f>
        <v> Lien</v>
      </c>
      <c r="C188" s="13">
        <v>1984</v>
      </c>
      <c r="D188" s="13" t="s">
        <v>344</v>
      </c>
      <c r="E188" s="14" t="s">
        <v>24</v>
      </c>
      <c r="F188" s="14" t="s">
        <v>21</v>
      </c>
      <c r="G188" s="13" t="s">
        <v>18</v>
      </c>
    </row>
    <row r="189" spans="1:7" ht="12.75">
      <c r="A189" s="40" t="s">
        <v>345</v>
      </c>
      <c r="B189" s="13" t="str">
        <f>HYPERLINK("http://www.generation-msx.nl/msxdb/softwareinfo/1014"," Lien")</f>
        <v> Lien</v>
      </c>
      <c r="C189" s="13">
        <v>1986</v>
      </c>
      <c r="D189" s="13" t="s">
        <v>346</v>
      </c>
      <c r="E189" s="14" t="s">
        <v>110</v>
      </c>
      <c r="F189" s="14" t="s">
        <v>27</v>
      </c>
      <c r="G189" s="13" t="s">
        <v>18</v>
      </c>
    </row>
    <row r="190" spans="1:7" ht="12.75">
      <c r="A190" s="40" t="s">
        <v>347</v>
      </c>
      <c r="B190" s="13" t="str">
        <f>HYPERLINK("http://www.generation-msx.nl/msxdb/softwareinfo/2697"," Lien")</f>
        <v> Lien</v>
      </c>
      <c r="C190" s="13">
        <v>1985</v>
      </c>
      <c r="D190" s="13" t="s">
        <v>348</v>
      </c>
      <c r="E190" s="14" t="s">
        <v>58</v>
      </c>
      <c r="F190" s="14" t="s">
        <v>27</v>
      </c>
      <c r="G190" s="13" t="s">
        <v>18</v>
      </c>
    </row>
    <row r="191" spans="1:7" ht="12.75">
      <c r="A191" s="42" t="s">
        <v>349</v>
      </c>
      <c r="B191" s="13" t="str">
        <f>HYPERLINK("http://www.generation-msx.nl/msxdb/softwareinfo/2698"," Lien")</f>
        <v> Lien</v>
      </c>
      <c r="C191" s="13">
        <v>1986</v>
      </c>
      <c r="D191" s="13" t="s">
        <v>258</v>
      </c>
      <c r="E191" s="14" t="s">
        <v>58</v>
      </c>
      <c r="F191" s="14" t="s">
        <v>10</v>
      </c>
      <c r="G191" s="13" t="s">
        <v>18</v>
      </c>
    </row>
    <row r="192" spans="1:7" ht="12.75">
      <c r="A192" s="42" t="s">
        <v>350</v>
      </c>
      <c r="B192" s="13" t="str">
        <f>HYPERLINK("http://www.generation-msx.nl/msxdb/softwareinfo/3025"," Lien")</f>
        <v> Lien</v>
      </c>
      <c r="C192" s="13">
        <v>1987</v>
      </c>
      <c r="D192" s="13" t="s">
        <v>45</v>
      </c>
      <c r="E192" s="14" t="s">
        <v>83</v>
      </c>
      <c r="F192" s="14" t="s">
        <v>10</v>
      </c>
      <c r="G192" s="13" t="s">
        <v>18</v>
      </c>
    </row>
    <row r="193" spans="1:7" ht="12.75">
      <c r="A193" s="42" t="s">
        <v>351</v>
      </c>
      <c r="B193" s="13" t="str">
        <f>HYPERLINK("http://www.generation-msx.nl/msxdb/softwareinfo/2707"," Lien")</f>
        <v> Lien</v>
      </c>
      <c r="C193" s="13">
        <v>1987</v>
      </c>
      <c r="D193" s="13" t="s">
        <v>198</v>
      </c>
      <c r="E193" s="14" t="s">
        <v>58</v>
      </c>
      <c r="F193" s="14" t="s">
        <v>10</v>
      </c>
      <c r="G193" s="13" t="s">
        <v>18</v>
      </c>
    </row>
    <row r="194" spans="1:7" ht="12.75">
      <c r="A194" s="35" t="s">
        <v>352</v>
      </c>
      <c r="B194" s="9" t="str">
        <f>HYPERLINK("http://www.generation-msx.nl/msxdb/softwareinfo/313"," Lien")</f>
        <v> Lien</v>
      </c>
      <c r="C194" s="9">
        <v>1985</v>
      </c>
      <c r="D194" s="9" t="s">
        <v>26</v>
      </c>
      <c r="E194" s="10" t="s">
        <v>9</v>
      </c>
      <c r="F194" s="10" t="s">
        <v>10</v>
      </c>
      <c r="G194" s="9" t="s">
        <v>11</v>
      </c>
    </row>
    <row r="195" spans="1:7" ht="12.75">
      <c r="A195" s="50" t="s">
        <v>353</v>
      </c>
      <c r="B195" s="13" t="str">
        <f>HYPERLINK("http://www.generation-msx.nl/msxdb/softwareinfo/2987"," Lien")</f>
        <v> Lien</v>
      </c>
      <c r="C195" s="13">
        <v>1986</v>
      </c>
      <c r="D195" s="13" t="s">
        <v>239</v>
      </c>
      <c r="E195" s="14" t="s">
        <v>51</v>
      </c>
      <c r="F195" s="14" t="s">
        <v>102</v>
      </c>
      <c r="G195" s="13" t="s">
        <v>18</v>
      </c>
    </row>
    <row r="196" spans="1:7" ht="12.75">
      <c r="A196" s="35" t="s">
        <v>354</v>
      </c>
      <c r="B196" s="9" t="str">
        <f>HYPERLINK("http://www.generation-msx.nl/msxdb/softwareinfo/32"," Lien")</f>
        <v> Lien</v>
      </c>
      <c r="C196" s="9">
        <v>1983</v>
      </c>
      <c r="D196" s="9" t="s">
        <v>23</v>
      </c>
      <c r="E196" s="10" t="s">
        <v>272</v>
      </c>
      <c r="F196" s="10" t="s">
        <v>21</v>
      </c>
      <c r="G196" s="9" t="s">
        <v>11</v>
      </c>
    </row>
    <row r="197" spans="1:7" ht="12.75">
      <c r="A197" s="38" t="s">
        <v>355</v>
      </c>
      <c r="B197" s="39"/>
      <c r="C197" s="9" t="s">
        <v>102</v>
      </c>
      <c r="D197" s="9" t="s">
        <v>356</v>
      </c>
      <c r="E197" s="10" t="s">
        <v>83</v>
      </c>
      <c r="F197" s="10" t="s">
        <v>102</v>
      </c>
      <c r="G197" s="9" t="s">
        <v>11</v>
      </c>
    </row>
    <row r="198" spans="1:7" ht="12.75">
      <c r="A198" s="40" t="s">
        <v>357</v>
      </c>
      <c r="B198" s="13" t="str">
        <f>HYPERLINK("http://www.generation-msx.nl/msxdb/softwareinfo/1009"," Lien")</f>
        <v> Lien</v>
      </c>
      <c r="C198" s="13">
        <v>1987</v>
      </c>
      <c r="D198" s="46" t="s">
        <v>358</v>
      </c>
      <c r="E198" s="14" t="s">
        <v>83</v>
      </c>
      <c r="F198" s="14" t="s">
        <v>27</v>
      </c>
      <c r="G198" s="13" t="s">
        <v>18</v>
      </c>
    </row>
    <row r="199" spans="1:7" ht="12.75">
      <c r="A199" s="51" t="s">
        <v>359</v>
      </c>
      <c r="B199" s="52"/>
      <c r="C199" s="53" t="s">
        <v>102</v>
      </c>
      <c r="D199" s="53" t="s">
        <v>360</v>
      </c>
      <c r="E199" s="54" t="s">
        <v>102</v>
      </c>
      <c r="F199" s="54" t="s">
        <v>102</v>
      </c>
      <c r="G199" s="53" t="s">
        <v>361</v>
      </c>
    </row>
    <row r="200" spans="1:7" ht="12.75">
      <c r="A200" s="35" t="s">
        <v>362</v>
      </c>
      <c r="B200" s="9" t="str">
        <f>HYPERLINK("http://www.generation-msx.nl/msxdb/softwareinfo/299"," Lien")</f>
        <v> Lien</v>
      </c>
      <c r="C200" s="9">
        <v>1983</v>
      </c>
      <c r="D200" s="9" t="s">
        <v>23</v>
      </c>
      <c r="E200" s="10" t="s">
        <v>83</v>
      </c>
      <c r="F200" s="10" t="s">
        <v>21</v>
      </c>
      <c r="G200" s="9" t="s">
        <v>11</v>
      </c>
    </row>
    <row r="201" spans="1:7" ht="12.75">
      <c r="A201" s="37" t="s">
        <v>363</v>
      </c>
      <c r="B201" s="9" t="str">
        <f>HYPERLINK("http://www.generation-msx.nl/msxdb/softwareinfo/2724"," Lien")</f>
        <v> Lien</v>
      </c>
      <c r="C201" s="9">
        <v>1986</v>
      </c>
      <c r="D201" s="9" t="s">
        <v>39</v>
      </c>
      <c r="E201" s="10" t="s">
        <v>17</v>
      </c>
      <c r="F201" s="10" t="s">
        <v>10</v>
      </c>
      <c r="G201" s="9" t="s">
        <v>11</v>
      </c>
    </row>
    <row r="202" spans="1:7" ht="12.75">
      <c r="A202" s="37" t="s">
        <v>364</v>
      </c>
      <c r="B202" s="9" t="str">
        <f>HYPERLINK("http://www.generation-msx.nl/msxdb/softwareinfo/3210"," Lien")</f>
        <v> Lien</v>
      </c>
      <c r="C202" s="9">
        <v>1987</v>
      </c>
      <c r="D202" s="9" t="s">
        <v>154</v>
      </c>
      <c r="E202" s="10" t="s">
        <v>83</v>
      </c>
      <c r="F202" s="10" t="s">
        <v>10</v>
      </c>
      <c r="G202" s="9" t="s">
        <v>11</v>
      </c>
    </row>
    <row r="203" spans="1:7" ht="12.75">
      <c r="A203" s="38" t="s">
        <v>365</v>
      </c>
      <c r="B203" s="39"/>
      <c r="C203" s="9">
        <v>1985</v>
      </c>
      <c r="D203" s="9" t="s">
        <v>366</v>
      </c>
      <c r="E203" s="10" t="s">
        <v>40</v>
      </c>
      <c r="F203" s="10" t="s">
        <v>10</v>
      </c>
      <c r="G203" s="9" t="s">
        <v>11</v>
      </c>
    </row>
    <row r="204" spans="1:7" ht="12.75">
      <c r="A204" s="37" t="s">
        <v>367</v>
      </c>
      <c r="B204" s="9" t="str">
        <f>HYPERLINK("http://www.generation-msx.nl/msxdb/softwareinfo/2290"," Lien")</f>
        <v> Lien</v>
      </c>
      <c r="C204" s="9" t="s">
        <v>102</v>
      </c>
      <c r="D204" s="9" t="s">
        <v>368</v>
      </c>
      <c r="E204" s="10" t="s">
        <v>40</v>
      </c>
      <c r="F204" s="10" t="s">
        <v>10</v>
      </c>
      <c r="G204" s="9" t="s">
        <v>11</v>
      </c>
    </row>
    <row r="205" spans="1:7" ht="12.75">
      <c r="A205" s="37" t="s">
        <v>369</v>
      </c>
      <c r="B205" s="9" t="str">
        <f>HYPERLINK("http://www.generation-msx.nl/msxdb/softwareinfo/2090"," Lien")</f>
        <v> Lien</v>
      </c>
      <c r="C205" s="9">
        <v>1989</v>
      </c>
      <c r="D205" s="9" t="s">
        <v>64</v>
      </c>
      <c r="E205" s="10" t="s">
        <v>58</v>
      </c>
      <c r="F205" s="10" t="s">
        <v>10</v>
      </c>
      <c r="G205" s="9" t="s">
        <v>11</v>
      </c>
    </row>
    <row r="206" spans="1:7" ht="12.75">
      <c r="A206" s="35" t="s">
        <v>370</v>
      </c>
      <c r="B206" s="9" t="str">
        <f>HYPERLINK("http://www.generation-msx.nl/msxdb/softwareinfo/3027"," Lien")</f>
        <v> Lien</v>
      </c>
      <c r="C206" s="9">
        <v>1987</v>
      </c>
      <c r="D206" s="9" t="s">
        <v>297</v>
      </c>
      <c r="E206" s="10" t="s">
        <v>51</v>
      </c>
      <c r="F206" s="10" t="s">
        <v>21</v>
      </c>
      <c r="G206" s="9" t="s">
        <v>11</v>
      </c>
    </row>
    <row r="207" spans="1:7" ht="12.75">
      <c r="A207" s="35" t="s">
        <v>371</v>
      </c>
      <c r="B207" s="9" t="str">
        <f>HYPERLINK("http://www.generation-msx.nl/msxdb/softwareinfo/629"," Lien")</f>
        <v> Lien</v>
      </c>
      <c r="C207" s="9">
        <v>1985</v>
      </c>
      <c r="D207" s="9" t="s">
        <v>372</v>
      </c>
      <c r="E207" s="10" t="s">
        <v>9</v>
      </c>
      <c r="F207" s="10" t="s">
        <v>27</v>
      </c>
      <c r="G207" s="9" t="s">
        <v>11</v>
      </c>
    </row>
    <row r="208" spans="1:7" ht="12.75">
      <c r="A208" s="42" t="s">
        <v>373</v>
      </c>
      <c r="B208" s="13" t="str">
        <f>HYPERLINK("http://www.generation-msx.nl/msxdb/softwareinfo/3434"," Lien")</f>
        <v> Lien</v>
      </c>
      <c r="C208" s="13">
        <v>1987</v>
      </c>
      <c r="D208" s="20" t="s">
        <v>119</v>
      </c>
      <c r="E208" s="14" t="s">
        <v>275</v>
      </c>
      <c r="F208" s="14" t="s">
        <v>10</v>
      </c>
      <c r="G208" s="13" t="s">
        <v>18</v>
      </c>
    </row>
    <row r="209" spans="1:7" ht="12.75">
      <c r="A209" s="38" t="s">
        <v>374</v>
      </c>
      <c r="B209" s="39"/>
      <c r="C209" s="9" t="s">
        <v>102</v>
      </c>
      <c r="D209" s="9" t="s">
        <v>102</v>
      </c>
      <c r="E209" s="10" t="s">
        <v>375</v>
      </c>
      <c r="F209" s="10" t="s">
        <v>102</v>
      </c>
      <c r="G209" s="9" t="s">
        <v>11</v>
      </c>
    </row>
    <row r="210" spans="1:7" ht="12.75">
      <c r="A210" s="42" t="s">
        <v>376</v>
      </c>
      <c r="B210" s="13" t="str">
        <f>HYPERLINK("http://www.generation-msx.nl/msxdb/softwareinfo/1797"," Lien")</f>
        <v> Lien</v>
      </c>
      <c r="C210" s="13">
        <v>1983</v>
      </c>
      <c r="D210" s="13" t="s">
        <v>227</v>
      </c>
      <c r="E210" s="14" t="s">
        <v>24</v>
      </c>
      <c r="F210" s="14" t="s">
        <v>27</v>
      </c>
      <c r="G210" s="13" t="s">
        <v>18</v>
      </c>
    </row>
    <row r="211" spans="1:7" ht="12.75">
      <c r="A211" s="37" t="s">
        <v>377</v>
      </c>
      <c r="B211" s="9" t="str">
        <f>HYPERLINK("http://www.generation-msx.nl/msxdb/softwareinfo/3311"," Lien")</f>
        <v> Lien</v>
      </c>
      <c r="C211" s="9">
        <v>1989</v>
      </c>
      <c r="D211" s="9" t="s">
        <v>378</v>
      </c>
      <c r="E211" s="10" t="s">
        <v>9</v>
      </c>
      <c r="F211" s="10" t="s">
        <v>10</v>
      </c>
      <c r="G211" s="9" t="s">
        <v>11</v>
      </c>
    </row>
    <row r="212" spans="1:7" ht="12.75">
      <c r="A212" s="38" t="s">
        <v>379</v>
      </c>
      <c r="B212" s="39"/>
      <c r="C212" s="9" t="s">
        <v>102</v>
      </c>
      <c r="D212" s="9" t="s">
        <v>380</v>
      </c>
      <c r="E212" s="10" t="s">
        <v>9</v>
      </c>
      <c r="F212" s="10" t="s">
        <v>102</v>
      </c>
      <c r="G212" s="9" t="s">
        <v>11</v>
      </c>
    </row>
    <row r="213" spans="1:7" ht="12.75">
      <c r="A213" s="37" t="s">
        <v>381</v>
      </c>
      <c r="B213" s="9" t="str">
        <f>HYPERLINK("http://www.generation-msx.nl/msxdb/softwareinfo/2116"," Lien")</f>
        <v> Lien</v>
      </c>
      <c r="C213" s="9">
        <v>1990</v>
      </c>
      <c r="D213" s="9" t="s">
        <v>73</v>
      </c>
      <c r="E213" s="10" t="s">
        <v>58</v>
      </c>
      <c r="F213" s="10" t="s">
        <v>10</v>
      </c>
      <c r="G213" s="9" t="s">
        <v>11</v>
      </c>
    </row>
    <row r="214" spans="1:7" ht="12.75">
      <c r="A214" s="42" t="s">
        <v>382</v>
      </c>
      <c r="B214" s="13" t="str">
        <f>HYPERLINK("http://www.generation-msx.nl/msxdb/softwareinfo/2894"," Lien")</f>
        <v> Lien</v>
      </c>
      <c r="C214" s="13">
        <v>1989</v>
      </c>
      <c r="D214" s="13" t="s">
        <v>383</v>
      </c>
      <c r="E214" s="14" t="s">
        <v>51</v>
      </c>
      <c r="F214" s="14" t="s">
        <v>10</v>
      </c>
      <c r="G214" s="13" t="s">
        <v>18</v>
      </c>
    </row>
    <row r="215" spans="1:7" ht="12.75">
      <c r="A215" s="37" t="s">
        <v>382</v>
      </c>
      <c r="B215" s="9" t="str">
        <f>HYPERLINK("http://www.generation-msx.nl/msxdb/softwareinfo/3309"," Lien")</f>
        <v> Lien</v>
      </c>
      <c r="C215" s="9" t="s">
        <v>102</v>
      </c>
      <c r="D215" s="48" t="s">
        <v>300</v>
      </c>
      <c r="E215" s="10" t="s">
        <v>58</v>
      </c>
      <c r="F215" s="10" t="s">
        <v>10</v>
      </c>
      <c r="G215" s="9" t="s">
        <v>11</v>
      </c>
    </row>
    <row r="216" spans="1:7" ht="12.75">
      <c r="A216" s="37" t="s">
        <v>384</v>
      </c>
      <c r="B216" s="9" t="str">
        <f>HYPERLINK("http://www.generation-msx.nl/msxdb/softwareinfo/2236"," Lien")</f>
        <v> Lien</v>
      </c>
      <c r="C216" s="9">
        <v>1990</v>
      </c>
      <c r="D216" s="9" t="s">
        <v>385</v>
      </c>
      <c r="E216" s="10" t="s">
        <v>43</v>
      </c>
      <c r="F216" s="10" t="s">
        <v>10</v>
      </c>
      <c r="G216" s="9" t="s">
        <v>11</v>
      </c>
    </row>
    <row r="217" spans="1:7" ht="12.75">
      <c r="A217" s="35" t="s">
        <v>386</v>
      </c>
      <c r="B217" s="9" t="str">
        <f>HYPERLINK("http://www.generation-msx.nl/msxdb/softwareinfo/822"," Lien")</f>
        <v> Lien</v>
      </c>
      <c r="C217" s="9">
        <v>1986</v>
      </c>
      <c r="D217" s="9" t="s">
        <v>387</v>
      </c>
      <c r="E217" s="10" t="s">
        <v>58</v>
      </c>
      <c r="F217" s="10" t="s">
        <v>21</v>
      </c>
      <c r="G217" s="9" t="s">
        <v>11</v>
      </c>
    </row>
    <row r="218" spans="1:7" ht="15.75" customHeight="1">
      <c r="A218" s="15" t="s">
        <v>388</v>
      </c>
      <c r="B218" s="13" t="str">
        <f>HYPERLINK("http://www.generation-msx.nl/msxdb/softwareinfo/843"," Lien")</f>
        <v> Lien</v>
      </c>
      <c r="C218" s="13">
        <v>1986</v>
      </c>
      <c r="D218" s="13" t="s">
        <v>215</v>
      </c>
      <c r="E218" s="14" t="s">
        <v>9</v>
      </c>
      <c r="F218" s="14" t="s">
        <v>21</v>
      </c>
      <c r="G218" s="13" t="s">
        <v>18</v>
      </c>
    </row>
    <row r="219" spans="1:7" ht="12.75">
      <c r="A219" s="38" t="s">
        <v>389</v>
      </c>
      <c r="B219" s="39"/>
      <c r="C219" s="9">
        <v>1987</v>
      </c>
      <c r="D219" s="9" t="s">
        <v>390</v>
      </c>
      <c r="E219" s="10" t="s">
        <v>67</v>
      </c>
      <c r="F219" s="10" t="s">
        <v>102</v>
      </c>
      <c r="G219" s="9" t="s">
        <v>11</v>
      </c>
    </row>
    <row r="220" spans="1:7" ht="12.75">
      <c r="A220" s="42" t="s">
        <v>391</v>
      </c>
      <c r="B220" s="13" t="str">
        <f>HYPERLINK("http://www.generation-msx.nl/msxdb/softwareinfo/3164"," Lien")</f>
        <v> Lien</v>
      </c>
      <c r="C220" s="13">
        <v>1985</v>
      </c>
      <c r="D220" s="13" t="s">
        <v>183</v>
      </c>
      <c r="E220" s="14" t="s">
        <v>9</v>
      </c>
      <c r="F220" s="14" t="s">
        <v>10</v>
      </c>
      <c r="G220" s="13" t="s">
        <v>18</v>
      </c>
    </row>
    <row r="221" spans="1:7" ht="12.75">
      <c r="A221" s="40" t="s">
        <v>392</v>
      </c>
      <c r="B221" s="13" t="str">
        <f>HYPERLINK("http://www.generation-msx.nl/msxdb/softwareinfo/67"," Lien")</f>
        <v> Lien</v>
      </c>
      <c r="C221" s="13">
        <v>1985</v>
      </c>
      <c r="D221" s="13" t="s">
        <v>215</v>
      </c>
      <c r="E221" s="14" t="s">
        <v>275</v>
      </c>
      <c r="F221" s="14" t="s">
        <v>21</v>
      </c>
      <c r="G221" s="13" t="s">
        <v>18</v>
      </c>
    </row>
    <row r="222" spans="1:7" ht="12.75">
      <c r="A222" s="55" t="s">
        <v>393</v>
      </c>
      <c r="B222" s="18" t="str">
        <f>HYPERLINK("http://www.generation-msx.nl/msxdb/softwareinfo/2067"," Lien")</f>
        <v> Lien</v>
      </c>
      <c r="C222" s="18">
        <v>1984</v>
      </c>
      <c r="D222" s="18" t="s">
        <v>208</v>
      </c>
      <c r="E222" s="19" t="s">
        <v>9</v>
      </c>
      <c r="F222" s="19" t="s">
        <v>10</v>
      </c>
      <c r="G222" s="18" t="s">
        <v>11</v>
      </c>
    </row>
    <row r="223" spans="1:7" ht="12.75">
      <c r="A223" s="55" t="s">
        <v>394</v>
      </c>
      <c r="B223" s="18" t="str">
        <f>HYPERLINK("http://www.generation-msx.nl/msxdb/softwareinfo/2041"," Lien")</f>
        <v> Lien</v>
      </c>
      <c r="C223" s="18">
        <v>1985</v>
      </c>
      <c r="D223" s="18" t="s">
        <v>66</v>
      </c>
      <c r="E223" s="19" t="s">
        <v>24</v>
      </c>
      <c r="F223" s="19" t="s">
        <v>10</v>
      </c>
      <c r="G223" s="18" t="s">
        <v>11</v>
      </c>
    </row>
    <row r="224" spans="1:7" ht="12.75">
      <c r="A224" s="55" t="s">
        <v>395</v>
      </c>
      <c r="B224" s="18" t="str">
        <f>HYPERLINK("http://www.generation-msx.nl/msxdb/softwareinfo/495"," Lien")</f>
        <v> Lien</v>
      </c>
      <c r="C224" s="18">
        <v>1985</v>
      </c>
      <c r="D224" s="18" t="s">
        <v>128</v>
      </c>
      <c r="E224" s="19" t="s">
        <v>9</v>
      </c>
      <c r="F224" s="19" t="s">
        <v>21</v>
      </c>
      <c r="G224" s="18" t="s">
        <v>11</v>
      </c>
    </row>
    <row r="225" spans="1:7" ht="12.75">
      <c r="A225" s="42" t="s">
        <v>396</v>
      </c>
      <c r="B225" s="13" t="str">
        <f>HYPERLINK("http://www.generation-msx.nl/msxdb/softwareinfo/140"," Lien")</f>
        <v> Lien</v>
      </c>
      <c r="C225" s="13">
        <v>1984</v>
      </c>
      <c r="D225" s="13" t="s">
        <v>62</v>
      </c>
      <c r="E225" s="14" t="s">
        <v>275</v>
      </c>
      <c r="F225" s="14" t="s">
        <v>21</v>
      </c>
      <c r="G225" s="13" t="s">
        <v>18</v>
      </c>
    </row>
    <row r="226" spans="1:7" ht="12.75">
      <c r="A226" s="55" t="s">
        <v>397</v>
      </c>
      <c r="B226" s="18" t="str">
        <f>HYPERLINK("http://www.generation-msx.nl/msxdb/softwareinfo/3281"," Lien")</f>
        <v> Lien</v>
      </c>
      <c r="C226" s="18">
        <v>1986</v>
      </c>
      <c r="D226" s="56" t="s">
        <v>300</v>
      </c>
      <c r="E226" s="19" t="s">
        <v>9</v>
      </c>
      <c r="F226" s="19" t="s">
        <v>10</v>
      </c>
      <c r="G226" s="18" t="s">
        <v>11</v>
      </c>
    </row>
    <row r="227" spans="1:7" ht="12.75">
      <c r="A227" s="42" t="s">
        <v>398</v>
      </c>
      <c r="B227" s="13" t="str">
        <f>HYPERLINK("http://www.generation-msx.nl/msxdb/softwareinfo/2986"," Lien")</f>
        <v> Lien</v>
      </c>
      <c r="C227" s="13">
        <v>1987</v>
      </c>
      <c r="D227" s="13" t="s">
        <v>16</v>
      </c>
      <c r="E227" s="14" t="s">
        <v>17</v>
      </c>
      <c r="F227" s="14" t="s">
        <v>10</v>
      </c>
      <c r="G227" s="13" t="s">
        <v>18</v>
      </c>
    </row>
    <row r="228" spans="1:7" ht="12.75">
      <c r="A228" s="55" t="s">
        <v>399</v>
      </c>
      <c r="B228" s="18" t="str">
        <f>HYPERLINK("http://www.generation-msx.nl/msxdb/softwareinfo/2117"," Lien")</f>
        <v> Lien</v>
      </c>
      <c r="C228" s="18">
        <v>1986</v>
      </c>
      <c r="D228" s="18" t="s">
        <v>73</v>
      </c>
      <c r="E228" s="19" t="s">
        <v>51</v>
      </c>
      <c r="F228" s="19" t="s">
        <v>10</v>
      </c>
      <c r="G228" s="18" t="s">
        <v>11</v>
      </c>
    </row>
    <row r="229" spans="1:7" ht="12.75">
      <c r="A229" s="55" t="s">
        <v>400</v>
      </c>
      <c r="B229" s="18" t="str">
        <f>HYPERLINK("http://www.generation-msx.nl/msxdb/softwareinfo/137"," Lien")</f>
        <v> Lien</v>
      </c>
      <c r="C229" s="18">
        <v>1983</v>
      </c>
      <c r="D229" s="18" t="s">
        <v>26</v>
      </c>
      <c r="E229" s="19" t="s">
        <v>275</v>
      </c>
      <c r="F229" s="19" t="s">
        <v>21</v>
      </c>
      <c r="G229" s="18" t="s">
        <v>11</v>
      </c>
    </row>
    <row r="230" spans="1:7" ht="12.75">
      <c r="A230" s="40" t="s">
        <v>401</v>
      </c>
      <c r="B230" s="13" t="str">
        <f>HYPERLINK("http://www.generation-msx.nl/msxdb/softwareinfo/2922"," Lien")</f>
        <v> Lien</v>
      </c>
      <c r="C230" s="13">
        <v>1984</v>
      </c>
      <c r="D230" s="13" t="s">
        <v>402</v>
      </c>
      <c r="E230" s="14" t="s">
        <v>9</v>
      </c>
      <c r="F230" s="14" t="s">
        <v>10</v>
      </c>
      <c r="G230" s="13" t="s">
        <v>18</v>
      </c>
    </row>
    <row r="231" spans="1:7" ht="12.75">
      <c r="A231" s="37" t="s">
        <v>403</v>
      </c>
      <c r="B231" s="18" t="str">
        <f>HYPERLINK("http://www.generation-msx.nl/msxdb/softwareinfo/2718"," Lien")</f>
        <v> Lien</v>
      </c>
      <c r="C231" s="9">
        <v>1986</v>
      </c>
      <c r="D231" s="9" t="s">
        <v>404</v>
      </c>
      <c r="E231" s="10" t="s">
        <v>307</v>
      </c>
      <c r="F231" s="10" t="s">
        <v>10</v>
      </c>
      <c r="G231" s="9" t="s">
        <v>11</v>
      </c>
    </row>
    <row r="232" spans="1:7" ht="12.75">
      <c r="A232" s="50" t="s">
        <v>405</v>
      </c>
      <c r="B232" s="13" t="str">
        <f>HYPERLINK("http://msxdev.msxblue.com/?page_id=305"," Lien")</f>
        <v> Lien</v>
      </c>
      <c r="C232" s="13">
        <v>2007</v>
      </c>
      <c r="D232" s="13" t="s">
        <v>406</v>
      </c>
      <c r="E232" s="14" t="s">
        <v>51</v>
      </c>
      <c r="F232" s="14" t="s">
        <v>21</v>
      </c>
      <c r="G232" s="13" t="s">
        <v>18</v>
      </c>
    </row>
    <row r="233" spans="1:7" ht="12.75">
      <c r="A233" s="37" t="s">
        <v>407</v>
      </c>
      <c r="B233" s="18" t="str">
        <f>HYPERLINK("http://www.generation-msx.nl/msxdb/softwareinfo/2168"," Lien")</f>
        <v> Lien</v>
      </c>
      <c r="C233" s="9">
        <v>1987</v>
      </c>
      <c r="D233" s="9" t="s">
        <v>408</v>
      </c>
      <c r="E233" s="10" t="s">
        <v>67</v>
      </c>
      <c r="F233" s="10" t="s">
        <v>10</v>
      </c>
      <c r="G233" s="9" t="s">
        <v>11</v>
      </c>
    </row>
    <row r="234" spans="1:7" ht="12.75">
      <c r="A234" s="37" t="s">
        <v>409</v>
      </c>
      <c r="B234" s="18" t="str">
        <f>HYPERLINK("http://www.generation-msx.nl/msxdb/softwareinfo/2118"," Lien")</f>
        <v> Lien</v>
      </c>
      <c r="C234" s="9">
        <v>1988</v>
      </c>
      <c r="D234" s="9" t="s">
        <v>73</v>
      </c>
      <c r="E234" s="10" t="s">
        <v>9</v>
      </c>
      <c r="F234" s="10" t="s">
        <v>10</v>
      </c>
      <c r="G234" s="9" t="s">
        <v>11</v>
      </c>
    </row>
    <row r="235" spans="1:7" ht="12.75">
      <c r="A235" s="37" t="s">
        <v>410</v>
      </c>
      <c r="B235" s="18" t="str">
        <f>HYPERLINK("http://www.generation-msx.nl/msxdb/softwareinfo/2119"," Lien")</f>
        <v> Lien</v>
      </c>
      <c r="C235" s="9">
        <v>1989</v>
      </c>
      <c r="D235" s="9" t="s">
        <v>73</v>
      </c>
      <c r="E235" s="10" t="s">
        <v>9</v>
      </c>
      <c r="F235" s="10" t="s">
        <v>10</v>
      </c>
      <c r="G235" s="9" t="s">
        <v>11</v>
      </c>
    </row>
    <row r="236" spans="1:7" ht="12.75">
      <c r="A236" s="38" t="s">
        <v>411</v>
      </c>
      <c r="B236" s="39"/>
      <c r="C236" s="9" t="s">
        <v>102</v>
      </c>
      <c r="D236" s="9" t="s">
        <v>102</v>
      </c>
      <c r="E236" s="10" t="s">
        <v>51</v>
      </c>
      <c r="F236" s="10" t="s">
        <v>102</v>
      </c>
      <c r="G236" s="9" t="s">
        <v>11</v>
      </c>
    </row>
    <row r="237" spans="1:7" ht="12.75">
      <c r="A237" s="35" t="s">
        <v>412</v>
      </c>
      <c r="B237" s="18" t="str">
        <f>HYPERLINK("http://www.generation-msx.nl/msxdb/softwareinfo/139"," Lien")</f>
        <v> Lien</v>
      </c>
      <c r="C237" s="9">
        <v>1984</v>
      </c>
      <c r="D237" s="9" t="s">
        <v>317</v>
      </c>
      <c r="E237" s="10" t="s">
        <v>275</v>
      </c>
      <c r="F237" s="10" t="s">
        <v>21</v>
      </c>
      <c r="G237" s="9" t="s">
        <v>11</v>
      </c>
    </row>
    <row r="238" spans="1:7" ht="12.75">
      <c r="A238" s="35" t="s">
        <v>413</v>
      </c>
      <c r="B238" s="18" t="str">
        <f>HYPERLINK("http://www.generation-msx.nl/msxdb/softwareinfo/138"," Lien")</f>
        <v> Lien</v>
      </c>
      <c r="C238" s="9">
        <v>1984</v>
      </c>
      <c r="D238" s="9" t="s">
        <v>414</v>
      </c>
      <c r="E238" s="10" t="s">
        <v>9</v>
      </c>
      <c r="F238" s="10" t="s">
        <v>21</v>
      </c>
      <c r="G238" s="9" t="s">
        <v>11</v>
      </c>
    </row>
    <row r="239" spans="1:7" ht="12.75">
      <c r="A239" s="37" t="s">
        <v>415</v>
      </c>
      <c r="B239" s="18" t="str">
        <f>HYPERLINK("http://www.konamito.com/ficha/?id=1542"," Lien")</f>
        <v> Lien</v>
      </c>
      <c r="C239" s="9" t="s">
        <v>102</v>
      </c>
      <c r="D239" s="9" t="s">
        <v>416</v>
      </c>
      <c r="E239" s="10" t="s">
        <v>275</v>
      </c>
      <c r="F239" s="10" t="s">
        <v>102</v>
      </c>
      <c r="G239" s="9" t="s">
        <v>11</v>
      </c>
    </row>
    <row r="240" spans="1:7" ht="12.75">
      <c r="A240" s="40" t="s">
        <v>417</v>
      </c>
      <c r="B240" s="13" t="str">
        <f>HYPERLINK("http://www.generation-msx.nl/msxdb/softwareinfo/412"," Lien")</f>
        <v> Lien</v>
      </c>
      <c r="C240" s="13">
        <v>1985</v>
      </c>
      <c r="D240" s="13" t="s">
        <v>239</v>
      </c>
      <c r="E240" s="14" t="s">
        <v>275</v>
      </c>
      <c r="F240" s="14" t="s">
        <v>21</v>
      </c>
      <c r="G240" s="13" t="s">
        <v>18</v>
      </c>
    </row>
    <row r="241" spans="1:7" ht="12.75">
      <c r="A241" s="35" t="s">
        <v>418</v>
      </c>
      <c r="B241" s="18" t="str">
        <f>HYPERLINK("http://www.generation-msx.nl/msxdb/softwareinfo/265"," Lien")</f>
        <v> Lien</v>
      </c>
      <c r="C241" s="9">
        <v>1984</v>
      </c>
      <c r="D241" s="9" t="s">
        <v>206</v>
      </c>
      <c r="E241" s="10" t="s">
        <v>9</v>
      </c>
      <c r="F241" s="10" t="s">
        <v>21</v>
      </c>
      <c r="G241" s="9" t="s">
        <v>11</v>
      </c>
    </row>
    <row r="242" spans="1:7" ht="12.75">
      <c r="A242" s="35" t="s">
        <v>419</v>
      </c>
      <c r="B242" s="18" t="str">
        <f>HYPERLINK("http://www.generation-msx.nl/msxdb/softwareinfo/15"," Lien")</f>
        <v> Lien</v>
      </c>
      <c r="C242" s="9">
        <v>1983</v>
      </c>
      <c r="D242" s="9" t="s">
        <v>335</v>
      </c>
      <c r="E242" s="10" t="s">
        <v>9</v>
      </c>
      <c r="F242" s="10" t="s">
        <v>21</v>
      </c>
      <c r="G242" s="9" t="s">
        <v>11</v>
      </c>
    </row>
    <row r="243" spans="1:7" ht="12.75">
      <c r="A243" s="37" t="s">
        <v>420</v>
      </c>
      <c r="B243" s="18" t="str">
        <f>HYPERLINK("http://www.generation-msx.nl/msxdb/softwareinfo/2340"," Lien")</f>
        <v> Lien</v>
      </c>
      <c r="C243" s="9">
        <v>1990</v>
      </c>
      <c r="D243" s="9" t="s">
        <v>96</v>
      </c>
      <c r="E243" s="10" t="s">
        <v>275</v>
      </c>
      <c r="F243" s="10" t="s">
        <v>10</v>
      </c>
      <c r="G243" s="9" t="s">
        <v>11</v>
      </c>
    </row>
    <row r="244" spans="1:7" ht="12.75">
      <c r="A244" s="38" t="s">
        <v>421</v>
      </c>
      <c r="B244" s="39"/>
      <c r="C244" s="47" t="s">
        <v>102</v>
      </c>
      <c r="D244" s="47" t="s">
        <v>422</v>
      </c>
      <c r="E244" s="10" t="s">
        <v>58</v>
      </c>
      <c r="F244" s="10" t="s">
        <v>102</v>
      </c>
      <c r="G244" s="47" t="s">
        <v>11</v>
      </c>
    </row>
    <row r="245" spans="1:7" ht="12.75">
      <c r="A245" s="38" t="s">
        <v>423</v>
      </c>
      <c r="B245" s="39"/>
      <c r="C245" s="9">
        <v>1986</v>
      </c>
      <c r="D245" s="9" t="s">
        <v>98</v>
      </c>
      <c r="E245" s="10" t="s">
        <v>55</v>
      </c>
      <c r="F245" s="10" t="s">
        <v>10</v>
      </c>
      <c r="G245" s="9" t="s">
        <v>11</v>
      </c>
    </row>
    <row r="246" spans="1:7" ht="12.75">
      <c r="A246" s="37" t="s">
        <v>424</v>
      </c>
      <c r="B246" s="18" t="str">
        <f>HYPERLINK("http://www.generation-msx.nl/msxdb/softwareinfo/2175"," Lien")</f>
        <v> Lien</v>
      </c>
      <c r="C246" s="9">
        <v>1989</v>
      </c>
      <c r="D246" s="9" t="s">
        <v>302</v>
      </c>
      <c r="E246" s="10" t="s">
        <v>9</v>
      </c>
      <c r="F246" s="10" t="s">
        <v>10</v>
      </c>
      <c r="G246" s="9" t="s">
        <v>11</v>
      </c>
    </row>
    <row r="247" spans="1:7" ht="12.75">
      <c r="A247" s="49" t="s">
        <v>425</v>
      </c>
      <c r="B247" s="57"/>
      <c r="C247" s="13">
        <v>2002</v>
      </c>
      <c r="D247" s="13" t="s">
        <v>78</v>
      </c>
      <c r="E247" s="14" t="s">
        <v>79</v>
      </c>
      <c r="F247" s="14" t="s">
        <v>102</v>
      </c>
      <c r="G247" s="13" t="s">
        <v>18</v>
      </c>
    </row>
    <row r="248" spans="1:7" ht="12.75">
      <c r="A248" s="40" t="s">
        <v>426</v>
      </c>
      <c r="B248" s="13" t="str">
        <f>HYPERLINK("http://www.generation-msx.nl/msxdb/softwareinfo/422"," Lien")</f>
        <v> Lien</v>
      </c>
      <c r="C248" s="13">
        <v>1985</v>
      </c>
      <c r="D248" s="13" t="s">
        <v>239</v>
      </c>
      <c r="E248" s="14" t="s">
        <v>17</v>
      </c>
      <c r="F248" s="14" t="s">
        <v>21</v>
      </c>
      <c r="G248" s="13" t="s">
        <v>18</v>
      </c>
    </row>
    <row r="249" spans="1:7" ht="12.75">
      <c r="A249" s="38" t="s">
        <v>427</v>
      </c>
      <c r="B249" s="39"/>
      <c r="C249" s="9">
        <v>1987</v>
      </c>
      <c r="D249" s="9" t="s">
        <v>54</v>
      </c>
      <c r="E249" s="10" t="s">
        <v>55</v>
      </c>
      <c r="F249" s="10" t="s">
        <v>102</v>
      </c>
      <c r="G249" s="9" t="s">
        <v>11</v>
      </c>
    </row>
    <row r="250" spans="1:7" ht="12.75">
      <c r="A250" s="37" t="s">
        <v>428</v>
      </c>
      <c r="B250" s="18" t="str">
        <f>HYPERLINK("http://www.generation-msx.nl/msxdb/softwareinfo/2073"," Lien")</f>
        <v> Lien</v>
      </c>
      <c r="C250" s="9">
        <v>1985</v>
      </c>
      <c r="D250" s="9" t="s">
        <v>286</v>
      </c>
      <c r="E250" s="10" t="s">
        <v>24</v>
      </c>
      <c r="F250" s="10" t="s">
        <v>10</v>
      </c>
      <c r="G250" s="9" t="s">
        <v>11</v>
      </c>
    </row>
    <row r="251" spans="1:7" ht="12.75">
      <c r="A251" s="42" t="s">
        <v>429</v>
      </c>
      <c r="B251" s="13" t="str">
        <f>HYPERLINK("http://www.generation-msx.nl/msxdb/softwareinfo/422"," Lien")</f>
        <v> Lien</v>
      </c>
      <c r="C251" s="13">
        <v>1986</v>
      </c>
      <c r="D251" s="13" t="s">
        <v>23</v>
      </c>
      <c r="E251" s="14" t="s">
        <v>272</v>
      </c>
      <c r="F251" s="14" t="s">
        <v>21</v>
      </c>
      <c r="G251" s="13" t="s">
        <v>18</v>
      </c>
    </row>
    <row r="252" spans="1:7" ht="12.75">
      <c r="A252" s="40" t="s">
        <v>430</v>
      </c>
      <c r="B252" s="13" t="str">
        <f>HYPERLINK("http://www.generation-msx.nl/msxdb/softwareinfo/738"," Lien")</f>
        <v> Lien</v>
      </c>
      <c r="C252" s="13">
        <v>1986</v>
      </c>
      <c r="D252" s="13" t="s">
        <v>23</v>
      </c>
      <c r="E252" s="14" t="s">
        <v>272</v>
      </c>
      <c r="F252" s="14" t="s">
        <v>21</v>
      </c>
      <c r="G252" s="13" t="s">
        <v>18</v>
      </c>
    </row>
    <row r="253" spans="1:7" ht="12.75">
      <c r="A253" s="38" t="s">
        <v>431</v>
      </c>
      <c r="B253" s="39"/>
      <c r="C253" s="9" t="s">
        <v>102</v>
      </c>
      <c r="D253" s="9" t="s">
        <v>432</v>
      </c>
      <c r="E253" s="10" t="s">
        <v>9</v>
      </c>
      <c r="F253" s="10" t="s">
        <v>102</v>
      </c>
      <c r="G253" s="9" t="s">
        <v>11</v>
      </c>
    </row>
    <row r="254" spans="1:7" ht="12.75">
      <c r="A254" s="38" t="s">
        <v>433</v>
      </c>
      <c r="B254" s="39"/>
      <c r="C254" s="9" t="s">
        <v>102</v>
      </c>
      <c r="D254" s="9" t="s">
        <v>434</v>
      </c>
      <c r="E254" s="10" t="s">
        <v>9</v>
      </c>
      <c r="F254" s="10" t="s">
        <v>102</v>
      </c>
      <c r="G254" s="9" t="s">
        <v>11</v>
      </c>
    </row>
    <row r="255" spans="1:7" ht="12.75">
      <c r="A255" s="38" t="s">
        <v>435</v>
      </c>
      <c r="B255" s="39"/>
      <c r="C255" s="9" t="s">
        <v>102</v>
      </c>
      <c r="D255" s="9" t="s">
        <v>102</v>
      </c>
      <c r="E255" s="10" t="s">
        <v>102</v>
      </c>
      <c r="F255" s="10" t="s">
        <v>102</v>
      </c>
      <c r="G255" s="9" t="s">
        <v>11</v>
      </c>
    </row>
    <row r="256" spans="1:7" ht="12.75">
      <c r="A256" s="37" t="s">
        <v>436</v>
      </c>
      <c r="B256" s="18" t="str">
        <f>HYPERLINK("http://www.generation-msx.nl/msxdb/softwareinfo/2211"," Lien")</f>
        <v> Lien</v>
      </c>
      <c r="C256" s="9">
        <v>1987</v>
      </c>
      <c r="D256" s="9" t="s">
        <v>154</v>
      </c>
      <c r="E256" s="10" t="s">
        <v>58</v>
      </c>
      <c r="F256" s="10" t="s">
        <v>10</v>
      </c>
      <c r="G256" s="9" t="s">
        <v>11</v>
      </c>
    </row>
    <row r="257" spans="1:7" ht="12.75">
      <c r="A257" s="40" t="s">
        <v>437</v>
      </c>
      <c r="B257" s="13" t="str">
        <f>HYPERLINK("http://msxdev.msxblue.com/?page_id=116"," Lien")</f>
        <v> Lien</v>
      </c>
      <c r="C257" s="13">
        <v>2005</v>
      </c>
      <c r="D257" s="13" t="s">
        <v>438</v>
      </c>
      <c r="E257" s="14" t="s">
        <v>51</v>
      </c>
      <c r="F257" s="14" t="s">
        <v>21</v>
      </c>
      <c r="G257" s="13" t="s">
        <v>18</v>
      </c>
    </row>
    <row r="258" spans="1:7" ht="12.75">
      <c r="A258" s="38" t="s">
        <v>439</v>
      </c>
      <c r="B258" s="39"/>
      <c r="C258" s="9">
        <v>1986</v>
      </c>
      <c r="D258" s="9" t="s">
        <v>98</v>
      </c>
      <c r="E258" s="10" t="s">
        <v>24</v>
      </c>
      <c r="F258" s="10" t="s">
        <v>102</v>
      </c>
      <c r="G258" s="9" t="s">
        <v>11</v>
      </c>
    </row>
    <row r="259" spans="1:7" ht="12.75">
      <c r="A259" s="38" t="s">
        <v>440</v>
      </c>
      <c r="B259" s="39"/>
      <c r="C259" s="9" t="s">
        <v>102</v>
      </c>
      <c r="D259" s="9" t="s">
        <v>102</v>
      </c>
      <c r="E259" s="10" t="s">
        <v>307</v>
      </c>
      <c r="F259" s="10" t="s">
        <v>102</v>
      </c>
      <c r="G259" s="9" t="s">
        <v>11</v>
      </c>
    </row>
    <row r="260" spans="1:7" ht="12.75">
      <c r="A260" s="37" t="s">
        <v>441</v>
      </c>
      <c r="B260" s="18" t="str">
        <f>HYPERLINK("http://www.generation-msx.nl/msxdb/softwareinfo/3046"," Lien")</f>
        <v> Lien</v>
      </c>
      <c r="C260" s="9">
        <v>1986</v>
      </c>
      <c r="D260" s="9" t="s">
        <v>195</v>
      </c>
      <c r="E260" s="10" t="s">
        <v>24</v>
      </c>
      <c r="F260" s="10" t="s">
        <v>178</v>
      </c>
      <c r="G260" s="9" t="s">
        <v>11</v>
      </c>
    </row>
    <row r="261" spans="1:7" ht="12.75">
      <c r="A261" s="35" t="s">
        <v>442</v>
      </c>
      <c r="B261" s="18" t="str">
        <f>HYPERLINK("http://www.generation-msx.nl/msxdb/softwareinfo/548"," Lien")</f>
        <v> Lien</v>
      </c>
      <c r="C261" s="9">
        <v>1984</v>
      </c>
      <c r="D261" s="9" t="s">
        <v>169</v>
      </c>
      <c r="E261" s="10" t="s">
        <v>58</v>
      </c>
      <c r="F261" s="10" t="s">
        <v>443</v>
      </c>
      <c r="G261" s="9" t="s">
        <v>11</v>
      </c>
    </row>
    <row r="262" spans="1:7" ht="12.75">
      <c r="A262" s="35" t="s">
        <v>444</v>
      </c>
      <c r="B262" s="18" t="str">
        <f>HYPERLINK("http://www.generation-msx.nl/msxdb/softwareinfo/549"," Lien")</f>
        <v> Lien</v>
      </c>
      <c r="C262" s="9">
        <v>1985</v>
      </c>
      <c r="D262" s="9" t="s">
        <v>128</v>
      </c>
      <c r="E262" s="10" t="s">
        <v>43</v>
      </c>
      <c r="F262" s="10" t="s">
        <v>21</v>
      </c>
      <c r="G262" s="9" t="s">
        <v>11</v>
      </c>
    </row>
    <row r="263" spans="1:7" ht="12.75">
      <c r="A263" s="42" t="s">
        <v>445</v>
      </c>
      <c r="B263" s="13" t="str">
        <f>HYPERLINK("http://www.generation-msx.nl/msxdb/softwareinfo/553"," Lien")</f>
        <v> Lien</v>
      </c>
      <c r="C263" s="13">
        <v>1985</v>
      </c>
      <c r="D263" s="13" t="s">
        <v>227</v>
      </c>
      <c r="E263" s="14" t="s">
        <v>17</v>
      </c>
      <c r="F263" s="14" t="s">
        <v>21</v>
      </c>
      <c r="G263" s="13" t="s">
        <v>18</v>
      </c>
    </row>
    <row r="264" spans="1:7" ht="12.75">
      <c r="A264" s="34" t="s">
        <v>446</v>
      </c>
      <c r="B264" s="13" t="str">
        <f>HYPERLINK("http://www.generation-msx.nl/msxdb/softwareinfo/789"," Lien")</f>
        <v> Lien</v>
      </c>
      <c r="C264" s="13">
        <v>1986</v>
      </c>
      <c r="D264" s="13" t="s">
        <v>227</v>
      </c>
      <c r="E264" s="14" t="s">
        <v>17</v>
      </c>
      <c r="F264" s="14" t="s">
        <v>21</v>
      </c>
      <c r="G264" s="13" t="s">
        <v>18</v>
      </c>
    </row>
    <row r="265" spans="1:7" ht="12.75">
      <c r="A265" s="34" t="s">
        <v>447</v>
      </c>
      <c r="B265" s="58"/>
      <c r="C265" s="13">
        <v>1986</v>
      </c>
      <c r="D265" s="13" t="s">
        <v>227</v>
      </c>
      <c r="E265" s="14" t="s">
        <v>17</v>
      </c>
      <c r="F265" s="14" t="s">
        <v>21</v>
      </c>
      <c r="G265" s="13" t="s">
        <v>18</v>
      </c>
    </row>
    <row r="266" spans="1:7" ht="12.75">
      <c r="A266" s="34" t="s">
        <v>448</v>
      </c>
      <c r="B266" s="58"/>
      <c r="C266" s="13">
        <v>1985</v>
      </c>
      <c r="D266" s="13" t="s">
        <v>227</v>
      </c>
      <c r="E266" s="14" t="s">
        <v>17</v>
      </c>
      <c r="F266" s="14" t="s">
        <v>21</v>
      </c>
      <c r="G266" s="13" t="s">
        <v>18</v>
      </c>
    </row>
    <row r="267" spans="1:7" ht="12.75">
      <c r="A267" s="59" t="s">
        <v>449</v>
      </c>
      <c r="B267" s="60"/>
      <c r="C267" s="9">
        <v>1985</v>
      </c>
      <c r="D267" s="9" t="s">
        <v>227</v>
      </c>
      <c r="E267" s="10" t="s">
        <v>17</v>
      </c>
      <c r="F267" s="10" t="s">
        <v>21</v>
      </c>
      <c r="G267" s="9" t="s">
        <v>11</v>
      </c>
    </row>
    <row r="268" spans="1:7" ht="12.75">
      <c r="A268" s="38" t="s">
        <v>450</v>
      </c>
      <c r="B268" s="39"/>
      <c r="C268" s="9">
        <v>1984</v>
      </c>
      <c r="D268" s="9" t="s">
        <v>128</v>
      </c>
      <c r="E268" s="10" t="s">
        <v>17</v>
      </c>
      <c r="F268" s="10" t="s">
        <v>102</v>
      </c>
      <c r="G268" s="9" t="s">
        <v>11</v>
      </c>
    </row>
    <row r="269" spans="1:7" ht="12.75">
      <c r="A269" s="33" t="s">
        <v>451</v>
      </c>
      <c r="B269" s="61"/>
      <c r="C269" s="13">
        <v>1985</v>
      </c>
      <c r="D269" s="13" t="s">
        <v>452</v>
      </c>
      <c r="E269" s="14" t="s">
        <v>272</v>
      </c>
      <c r="F269" s="14" t="s">
        <v>21</v>
      </c>
      <c r="G269" s="13" t="s">
        <v>18</v>
      </c>
    </row>
    <row r="270" spans="1:7" ht="12.75">
      <c r="A270" s="62" t="s">
        <v>453</v>
      </c>
      <c r="B270" s="63"/>
      <c r="C270" s="9">
        <v>1986</v>
      </c>
      <c r="D270" s="9" t="s">
        <v>98</v>
      </c>
      <c r="E270" s="10" t="s">
        <v>9</v>
      </c>
      <c r="F270" s="10" t="s">
        <v>102</v>
      </c>
      <c r="G270" s="9" t="s">
        <v>11</v>
      </c>
    </row>
    <row r="271" spans="1:7" ht="12.75">
      <c r="A271" s="62" t="s">
        <v>454</v>
      </c>
      <c r="B271" s="63"/>
      <c r="C271" s="9">
        <v>1988</v>
      </c>
      <c r="D271" s="9" t="s">
        <v>243</v>
      </c>
      <c r="E271" s="10" t="s">
        <v>9</v>
      </c>
      <c r="F271" s="10" t="s">
        <v>10</v>
      </c>
      <c r="G271" s="9" t="s">
        <v>11</v>
      </c>
    </row>
    <row r="272" spans="1:7" ht="12.75">
      <c r="A272" s="59" t="s">
        <v>455</v>
      </c>
      <c r="B272" s="60"/>
      <c r="C272" s="9">
        <v>2005</v>
      </c>
      <c r="D272" s="9" t="s">
        <v>456</v>
      </c>
      <c r="E272" s="10" t="s">
        <v>9</v>
      </c>
      <c r="F272" s="10" t="s">
        <v>21</v>
      </c>
      <c r="G272" s="9" t="s">
        <v>11</v>
      </c>
    </row>
    <row r="273" spans="1:7" ht="12.75">
      <c r="A273" s="34" t="s">
        <v>457</v>
      </c>
      <c r="B273" s="58"/>
      <c r="C273" s="13">
        <v>1985</v>
      </c>
      <c r="D273" s="13" t="s">
        <v>128</v>
      </c>
      <c r="E273" s="14" t="s">
        <v>9</v>
      </c>
      <c r="F273" s="14" t="s">
        <v>21</v>
      </c>
      <c r="G273" s="13" t="s">
        <v>18</v>
      </c>
    </row>
    <row r="274" spans="1:7" ht="12.75">
      <c r="A274" s="33" t="s">
        <v>458</v>
      </c>
      <c r="B274" s="61"/>
      <c r="C274" s="13">
        <v>1985</v>
      </c>
      <c r="D274" s="13" t="s">
        <v>459</v>
      </c>
      <c r="E274" s="14" t="s">
        <v>460</v>
      </c>
      <c r="F274" s="14" t="s">
        <v>21</v>
      </c>
      <c r="G274" s="13" t="s">
        <v>18</v>
      </c>
    </row>
    <row r="275" spans="1:7" ht="12.75">
      <c r="A275" s="38" t="s">
        <v>461</v>
      </c>
      <c r="B275" s="39"/>
      <c r="C275" s="9">
        <v>1987</v>
      </c>
      <c r="D275" s="9" t="s">
        <v>462</v>
      </c>
      <c r="E275" s="10" t="s">
        <v>67</v>
      </c>
      <c r="F275" s="10" t="s">
        <v>10</v>
      </c>
      <c r="G275" s="9" t="s">
        <v>11</v>
      </c>
    </row>
    <row r="276" spans="1:7" ht="12.75">
      <c r="A276" s="33" t="s">
        <v>463</v>
      </c>
      <c r="B276" s="61"/>
      <c r="C276" s="13">
        <v>1984</v>
      </c>
      <c r="D276" s="13" t="s">
        <v>464</v>
      </c>
      <c r="E276" s="14" t="s">
        <v>460</v>
      </c>
      <c r="F276" s="14" t="s">
        <v>21</v>
      </c>
      <c r="G276" s="13" t="s">
        <v>18</v>
      </c>
    </row>
    <row r="277" spans="1:7" ht="12.75">
      <c r="A277" s="34" t="s">
        <v>465</v>
      </c>
      <c r="B277" s="58"/>
      <c r="C277" s="13">
        <v>1985</v>
      </c>
      <c r="D277" s="13" t="s">
        <v>466</v>
      </c>
      <c r="E277" s="14" t="s">
        <v>460</v>
      </c>
      <c r="F277" s="14" t="s">
        <v>10</v>
      </c>
      <c r="G277" s="13" t="s">
        <v>18</v>
      </c>
    </row>
    <row r="278" spans="1:7" ht="12.75">
      <c r="A278" s="36" t="s">
        <v>467</v>
      </c>
      <c r="B278" s="64"/>
      <c r="C278" s="13">
        <v>1985</v>
      </c>
      <c r="D278" s="13" t="s">
        <v>468</v>
      </c>
      <c r="E278" s="14" t="s">
        <v>460</v>
      </c>
      <c r="F278" s="14" t="s">
        <v>21</v>
      </c>
      <c r="G278" s="13" t="s">
        <v>18</v>
      </c>
    </row>
    <row r="279" spans="1:7" ht="12.75">
      <c r="A279" s="65" t="s">
        <v>469</v>
      </c>
      <c r="B279" s="66"/>
      <c r="C279" s="53">
        <v>1988</v>
      </c>
      <c r="D279" s="53" t="s">
        <v>177</v>
      </c>
      <c r="E279" s="54" t="s">
        <v>460</v>
      </c>
      <c r="F279" s="54" t="s">
        <v>178</v>
      </c>
      <c r="G279" s="53" t="s">
        <v>361</v>
      </c>
    </row>
    <row r="280" spans="1:7" ht="12.75">
      <c r="A280" s="65" t="s">
        <v>470</v>
      </c>
      <c r="B280" s="66"/>
      <c r="C280" s="53">
        <v>1989</v>
      </c>
      <c r="D280" s="53" t="s">
        <v>378</v>
      </c>
      <c r="E280" s="54" t="s">
        <v>460</v>
      </c>
      <c r="F280" s="54" t="s">
        <v>102</v>
      </c>
      <c r="G280" s="53" t="s">
        <v>361</v>
      </c>
    </row>
    <row r="281" spans="1:7" ht="12.75">
      <c r="A281" s="62" t="s">
        <v>471</v>
      </c>
      <c r="B281" s="63"/>
      <c r="C281" s="9">
        <v>1987</v>
      </c>
      <c r="D281" s="9" t="s">
        <v>113</v>
      </c>
      <c r="E281" s="10" t="s">
        <v>275</v>
      </c>
      <c r="F281" s="10" t="s">
        <v>10</v>
      </c>
      <c r="G281" s="9" t="s">
        <v>11</v>
      </c>
    </row>
    <row r="282" spans="1:7" ht="12.75">
      <c r="A282" s="62" t="s">
        <v>472</v>
      </c>
      <c r="B282" s="63"/>
      <c r="C282" s="9">
        <v>1984</v>
      </c>
      <c r="D282" s="9" t="s">
        <v>26</v>
      </c>
      <c r="E282" s="10" t="s">
        <v>9</v>
      </c>
      <c r="F282" s="10" t="s">
        <v>10</v>
      </c>
      <c r="G282" s="9" t="s">
        <v>11</v>
      </c>
    </row>
    <row r="283" spans="1:7" ht="12.75">
      <c r="A283" s="33" t="s">
        <v>473</v>
      </c>
      <c r="B283" s="61"/>
      <c r="C283" s="13">
        <v>1986</v>
      </c>
      <c r="D283" s="13" t="s">
        <v>340</v>
      </c>
      <c r="E283" s="14" t="s">
        <v>58</v>
      </c>
      <c r="F283" s="14" t="s">
        <v>10</v>
      </c>
      <c r="G283" s="13" t="s">
        <v>18</v>
      </c>
    </row>
    <row r="284" spans="1:7" ht="12.75">
      <c r="A284" s="33" t="s">
        <v>474</v>
      </c>
      <c r="B284" s="61"/>
      <c r="C284" s="13">
        <v>1985</v>
      </c>
      <c r="D284" s="13" t="s">
        <v>135</v>
      </c>
      <c r="E284" s="14" t="s">
        <v>51</v>
      </c>
      <c r="F284" s="14" t="s">
        <v>10</v>
      </c>
      <c r="G284" s="13" t="s">
        <v>18</v>
      </c>
    </row>
    <row r="285" spans="1:7" ht="12.75">
      <c r="A285" s="33" t="s">
        <v>475</v>
      </c>
      <c r="B285" s="61"/>
      <c r="C285" s="13">
        <v>1985</v>
      </c>
      <c r="D285" s="13" t="s">
        <v>156</v>
      </c>
      <c r="E285" s="14" t="s">
        <v>272</v>
      </c>
      <c r="F285" s="67" t="s">
        <v>132</v>
      </c>
      <c r="G285" s="13" t="s">
        <v>18</v>
      </c>
    </row>
    <row r="286" spans="1:7" ht="12.75">
      <c r="A286" s="68" t="s">
        <v>476</v>
      </c>
      <c r="B286" s="69"/>
      <c r="C286" s="9">
        <v>2004</v>
      </c>
      <c r="D286" s="9" t="s">
        <v>477</v>
      </c>
      <c r="E286" s="10" t="s">
        <v>9</v>
      </c>
      <c r="F286" s="10" t="s">
        <v>21</v>
      </c>
      <c r="G286" s="9" t="s">
        <v>11</v>
      </c>
    </row>
    <row r="287" spans="1:7" ht="12.75">
      <c r="A287" s="33" t="s">
        <v>478</v>
      </c>
      <c r="B287" s="61"/>
      <c r="C287" s="13">
        <v>1985</v>
      </c>
      <c r="D287" s="13" t="s">
        <v>479</v>
      </c>
      <c r="E287" s="14" t="s">
        <v>9</v>
      </c>
      <c r="F287" s="14" t="s">
        <v>21</v>
      </c>
      <c r="G287" s="13" t="s">
        <v>18</v>
      </c>
    </row>
    <row r="288" spans="1:7" ht="12.75">
      <c r="A288" s="62" t="s">
        <v>480</v>
      </c>
      <c r="B288" s="63"/>
      <c r="C288" s="9">
        <v>1986</v>
      </c>
      <c r="D288" s="9" t="s">
        <v>481</v>
      </c>
      <c r="E288" s="10" t="s">
        <v>24</v>
      </c>
      <c r="F288" s="10" t="s">
        <v>10</v>
      </c>
      <c r="G288" s="9" t="s">
        <v>11</v>
      </c>
    </row>
    <row r="289" spans="1:7" ht="12.75">
      <c r="A289" s="33" t="s">
        <v>482</v>
      </c>
      <c r="B289" s="61"/>
      <c r="C289" s="13">
        <v>1984</v>
      </c>
      <c r="D289" s="13" t="s">
        <v>169</v>
      </c>
      <c r="E289" s="14" t="s">
        <v>275</v>
      </c>
      <c r="F289" s="70" t="s">
        <v>483</v>
      </c>
      <c r="G289" s="13" t="s">
        <v>18</v>
      </c>
    </row>
    <row r="290" spans="1:7" ht="12.75">
      <c r="A290" s="62" t="s">
        <v>484</v>
      </c>
      <c r="B290" s="63"/>
      <c r="C290" s="9">
        <v>1989</v>
      </c>
      <c r="D290" s="9" t="s">
        <v>91</v>
      </c>
      <c r="E290" s="10" t="s">
        <v>9</v>
      </c>
      <c r="F290" s="10" t="s">
        <v>10</v>
      </c>
      <c r="G290" s="9" t="s">
        <v>11</v>
      </c>
    </row>
    <row r="291" spans="1:7" ht="12.75">
      <c r="A291" s="33" t="s">
        <v>485</v>
      </c>
      <c r="B291" s="61"/>
      <c r="C291" s="13">
        <v>1988</v>
      </c>
      <c r="D291" s="13" t="s">
        <v>486</v>
      </c>
      <c r="E291" s="14" t="s">
        <v>51</v>
      </c>
      <c r="F291" s="14" t="s">
        <v>10</v>
      </c>
      <c r="G291" s="13" t="s">
        <v>18</v>
      </c>
    </row>
    <row r="292" spans="1:7" ht="12.75">
      <c r="A292" s="62" t="s">
        <v>487</v>
      </c>
      <c r="B292" s="63"/>
      <c r="C292" s="9">
        <v>1989</v>
      </c>
      <c r="D292" s="9" t="s">
        <v>165</v>
      </c>
      <c r="E292" s="10" t="s">
        <v>43</v>
      </c>
      <c r="F292" s="10" t="s">
        <v>10</v>
      </c>
      <c r="G292" s="9" t="s">
        <v>11</v>
      </c>
    </row>
    <row r="293" spans="1:7" ht="12.75">
      <c r="A293" s="33" t="s">
        <v>488</v>
      </c>
      <c r="B293" s="61"/>
      <c r="C293" s="13">
        <v>1984</v>
      </c>
      <c r="D293" s="13" t="s">
        <v>489</v>
      </c>
      <c r="E293" s="14" t="s">
        <v>51</v>
      </c>
      <c r="F293" s="14" t="s">
        <v>10</v>
      </c>
      <c r="G293" s="13" t="s">
        <v>18</v>
      </c>
    </row>
    <row r="294" spans="1:7" ht="12.75">
      <c r="A294" s="62" t="s">
        <v>490</v>
      </c>
      <c r="B294" s="63"/>
      <c r="C294" s="9">
        <v>1987</v>
      </c>
      <c r="D294" s="9" t="s">
        <v>378</v>
      </c>
      <c r="E294" s="10" t="s">
        <v>9</v>
      </c>
      <c r="F294" s="10" t="s">
        <v>10</v>
      </c>
      <c r="G294" s="9" t="s">
        <v>11</v>
      </c>
    </row>
    <row r="295" spans="1:7" ht="12.75">
      <c r="A295" s="62" t="s">
        <v>491</v>
      </c>
      <c r="B295" s="63"/>
      <c r="C295" s="9">
        <v>1985</v>
      </c>
      <c r="D295" s="9" t="s">
        <v>115</v>
      </c>
      <c r="E295" s="10" t="s">
        <v>67</v>
      </c>
      <c r="F295" s="10" t="s">
        <v>10</v>
      </c>
      <c r="G295" s="9" t="s">
        <v>11</v>
      </c>
    </row>
    <row r="296" spans="1:7" ht="12.75">
      <c r="A296" s="33" t="s">
        <v>492</v>
      </c>
      <c r="B296" s="61"/>
      <c r="C296" s="13">
        <v>1984</v>
      </c>
      <c r="D296" s="13" t="s">
        <v>62</v>
      </c>
      <c r="E296" s="14" t="s">
        <v>275</v>
      </c>
      <c r="F296" s="14" t="s">
        <v>21</v>
      </c>
      <c r="G296" s="13" t="s">
        <v>18</v>
      </c>
    </row>
    <row r="297" spans="1:7" ht="12.75">
      <c r="A297" s="71" t="s">
        <v>493</v>
      </c>
      <c r="B297" s="72"/>
      <c r="C297" s="9">
        <v>1990</v>
      </c>
      <c r="D297" s="9" t="s">
        <v>494</v>
      </c>
      <c r="E297" s="10" t="s">
        <v>291</v>
      </c>
      <c r="F297" s="10" t="s">
        <v>102</v>
      </c>
      <c r="G297" s="9" t="s">
        <v>11</v>
      </c>
    </row>
    <row r="298" spans="1:7" ht="12.75">
      <c r="A298" s="33" t="s">
        <v>495</v>
      </c>
      <c r="B298" s="61"/>
      <c r="C298" s="13">
        <v>1986</v>
      </c>
      <c r="D298" s="13" t="s">
        <v>496</v>
      </c>
      <c r="E298" s="14" t="s">
        <v>9</v>
      </c>
      <c r="F298" s="14" t="s">
        <v>27</v>
      </c>
      <c r="G298" s="13" t="s">
        <v>18</v>
      </c>
    </row>
    <row r="299" spans="1:7" ht="12.75">
      <c r="A299" s="73" t="s">
        <v>497</v>
      </c>
      <c r="B299" s="74"/>
      <c r="C299" s="9">
        <v>1990</v>
      </c>
      <c r="D299" s="9" t="s">
        <v>201</v>
      </c>
      <c r="E299" s="10" t="s">
        <v>55</v>
      </c>
      <c r="F299" s="10" t="s">
        <v>10</v>
      </c>
      <c r="G299" s="9" t="s">
        <v>11</v>
      </c>
    </row>
    <row r="300" spans="1:7" ht="12.75">
      <c r="A300" s="73" t="s">
        <v>498</v>
      </c>
      <c r="B300" s="74"/>
      <c r="C300" s="75">
        <v>1991</v>
      </c>
      <c r="D300" s="75" t="s">
        <v>201</v>
      </c>
      <c r="E300" s="76" t="s">
        <v>55</v>
      </c>
      <c r="F300" s="76" t="s">
        <v>10</v>
      </c>
      <c r="G300" s="75" t="s">
        <v>11</v>
      </c>
    </row>
    <row r="301" spans="1:7" ht="12.75">
      <c r="A301" s="77" t="s">
        <v>499</v>
      </c>
      <c r="B301" s="78"/>
      <c r="C301" s="53">
        <v>1992</v>
      </c>
      <c r="D301" s="53" t="s">
        <v>201</v>
      </c>
      <c r="E301" s="54" t="s">
        <v>55</v>
      </c>
      <c r="F301" s="54" t="s">
        <v>10</v>
      </c>
      <c r="G301" s="53" t="s">
        <v>361</v>
      </c>
    </row>
    <row r="302" spans="1:7" ht="12.75">
      <c r="A302" s="62" t="s">
        <v>500</v>
      </c>
      <c r="B302" s="63"/>
      <c r="C302" s="9">
        <v>1986</v>
      </c>
      <c r="D302" s="9" t="s">
        <v>501</v>
      </c>
      <c r="E302" s="10" t="s">
        <v>55</v>
      </c>
      <c r="F302" s="10" t="s">
        <v>10</v>
      </c>
      <c r="G302" s="9" t="s">
        <v>11</v>
      </c>
    </row>
    <row r="303" spans="1:7" ht="12.75">
      <c r="A303" s="68" t="s">
        <v>502</v>
      </c>
      <c r="B303" s="69"/>
      <c r="C303" s="9">
        <v>2004</v>
      </c>
      <c r="D303" s="9" t="s">
        <v>503</v>
      </c>
      <c r="E303" s="10" t="s">
        <v>307</v>
      </c>
      <c r="F303" s="10" t="s">
        <v>21</v>
      </c>
      <c r="G303" s="9" t="s">
        <v>11</v>
      </c>
    </row>
    <row r="304" spans="1:7" ht="12.75">
      <c r="A304" s="68" t="s">
        <v>504</v>
      </c>
      <c r="B304" s="69"/>
      <c r="C304" s="9">
        <v>2004</v>
      </c>
      <c r="D304" s="9" t="s">
        <v>503</v>
      </c>
      <c r="E304" s="10" t="s">
        <v>9</v>
      </c>
      <c r="F304" s="10" t="s">
        <v>21</v>
      </c>
      <c r="G304" s="9" t="s">
        <v>11</v>
      </c>
    </row>
    <row r="305" spans="1:7" ht="12.75">
      <c r="A305" s="68" t="s">
        <v>505</v>
      </c>
      <c r="B305" s="69"/>
      <c r="C305" s="9">
        <v>1986</v>
      </c>
      <c r="D305" s="9" t="s">
        <v>506</v>
      </c>
      <c r="E305" s="10" t="s">
        <v>207</v>
      </c>
      <c r="F305" s="10" t="s">
        <v>102</v>
      </c>
      <c r="G305" s="9" t="s">
        <v>11</v>
      </c>
    </row>
    <row r="306" spans="1:7" ht="12.75">
      <c r="A306" s="33" t="s">
        <v>507</v>
      </c>
      <c r="B306" s="61"/>
      <c r="C306" s="13">
        <v>1986</v>
      </c>
      <c r="D306" s="13" t="s">
        <v>206</v>
      </c>
      <c r="E306" s="14" t="s">
        <v>9</v>
      </c>
      <c r="F306" s="14" t="s">
        <v>21</v>
      </c>
      <c r="G306" s="13" t="s">
        <v>18</v>
      </c>
    </row>
    <row r="307" spans="1:7" ht="12.75">
      <c r="A307" s="62" t="s">
        <v>508</v>
      </c>
      <c r="B307" s="63"/>
      <c r="C307" s="9">
        <v>1986</v>
      </c>
      <c r="D307" s="9" t="s">
        <v>73</v>
      </c>
      <c r="E307" s="10" t="s">
        <v>55</v>
      </c>
      <c r="F307" s="10" t="s">
        <v>10</v>
      </c>
      <c r="G307" s="9" t="s">
        <v>11</v>
      </c>
    </row>
    <row r="308" spans="1:7" ht="12.75">
      <c r="A308" s="62" t="s">
        <v>509</v>
      </c>
      <c r="B308" s="63"/>
      <c r="C308" s="9">
        <v>1984</v>
      </c>
      <c r="D308" s="9" t="s">
        <v>183</v>
      </c>
      <c r="E308" s="10" t="s">
        <v>9</v>
      </c>
      <c r="F308" s="10" t="s">
        <v>10</v>
      </c>
      <c r="G308" s="9" t="s">
        <v>11</v>
      </c>
    </row>
    <row r="309" spans="1:7" ht="12.75">
      <c r="A309" s="62" t="s">
        <v>510</v>
      </c>
      <c r="B309" s="63"/>
      <c r="C309" s="9">
        <v>1985</v>
      </c>
      <c r="D309" s="9" t="s">
        <v>115</v>
      </c>
      <c r="E309" s="10" t="s">
        <v>67</v>
      </c>
      <c r="F309" s="10" t="s">
        <v>10</v>
      </c>
      <c r="G309" s="9" t="s">
        <v>11</v>
      </c>
    </row>
    <row r="310" spans="1:7" ht="12.75">
      <c r="A310" s="68" t="s">
        <v>511</v>
      </c>
      <c r="B310" s="69"/>
      <c r="C310" s="9" t="s">
        <v>102</v>
      </c>
      <c r="D310" s="9" t="s">
        <v>512</v>
      </c>
      <c r="E310" s="10" t="s">
        <v>67</v>
      </c>
      <c r="F310" s="10" t="s">
        <v>102</v>
      </c>
      <c r="G310" s="9" t="s">
        <v>11</v>
      </c>
    </row>
    <row r="311" spans="1:7" ht="12.75">
      <c r="A311" s="33" t="s">
        <v>513</v>
      </c>
      <c r="B311" s="61"/>
      <c r="C311" s="13">
        <v>1987</v>
      </c>
      <c r="D311" s="13" t="s">
        <v>113</v>
      </c>
      <c r="E311" s="14" t="s">
        <v>275</v>
      </c>
      <c r="F311" s="14" t="s">
        <v>10</v>
      </c>
      <c r="G311" s="13" t="s">
        <v>18</v>
      </c>
    </row>
    <row r="312" spans="1:7" ht="12.75">
      <c r="A312" s="62" t="s">
        <v>514</v>
      </c>
      <c r="B312" s="63"/>
      <c r="C312" s="9">
        <v>1987</v>
      </c>
      <c r="D312" s="9" t="s">
        <v>135</v>
      </c>
      <c r="E312" s="10" t="s">
        <v>9</v>
      </c>
      <c r="F312" s="10" t="s">
        <v>10</v>
      </c>
      <c r="G312" s="9" t="s">
        <v>11</v>
      </c>
    </row>
    <row r="313" spans="1:7" ht="12.75">
      <c r="A313" s="33" t="s">
        <v>515</v>
      </c>
      <c r="B313" s="61"/>
      <c r="C313" s="13">
        <v>1983</v>
      </c>
      <c r="D313" s="13" t="s">
        <v>26</v>
      </c>
      <c r="E313" s="14" t="s">
        <v>275</v>
      </c>
      <c r="F313" s="14" t="s">
        <v>21</v>
      </c>
      <c r="G313" s="13" t="s">
        <v>18</v>
      </c>
    </row>
    <row r="314" spans="1:7" ht="12.75">
      <c r="A314" s="68" t="s">
        <v>516</v>
      </c>
      <c r="B314" s="69"/>
      <c r="C314" s="9">
        <v>1983</v>
      </c>
      <c r="D314" s="9" t="s">
        <v>517</v>
      </c>
      <c r="E314" s="10" t="s">
        <v>24</v>
      </c>
      <c r="F314" s="10" t="s">
        <v>21</v>
      </c>
      <c r="G314" s="9" t="s">
        <v>11</v>
      </c>
    </row>
    <row r="315" spans="1:7" ht="12.75">
      <c r="A315" s="62" t="s">
        <v>518</v>
      </c>
      <c r="B315" s="63"/>
      <c r="C315" s="9">
        <v>1983</v>
      </c>
      <c r="D315" s="9" t="s">
        <v>517</v>
      </c>
      <c r="E315" s="10" t="s">
        <v>9</v>
      </c>
      <c r="F315" s="10" t="s">
        <v>21</v>
      </c>
      <c r="G315" s="9" t="s">
        <v>11</v>
      </c>
    </row>
    <row r="316" spans="1:7" ht="12.75">
      <c r="A316" s="33" t="s">
        <v>519</v>
      </c>
      <c r="B316" s="61"/>
      <c r="C316" s="79">
        <v>1986</v>
      </c>
      <c r="D316" s="80" t="s">
        <v>520</v>
      </c>
      <c r="E316" s="81" t="s">
        <v>460</v>
      </c>
      <c r="F316" s="81" t="s">
        <v>10</v>
      </c>
      <c r="G316" s="80" t="s">
        <v>18</v>
      </c>
    </row>
    <row r="317" spans="1:7" ht="12.75">
      <c r="A317" s="33" t="s">
        <v>521</v>
      </c>
      <c r="B317" s="61"/>
      <c r="C317" s="13">
        <v>1987</v>
      </c>
      <c r="D317" s="13" t="s">
        <v>113</v>
      </c>
      <c r="E317" s="14" t="s">
        <v>275</v>
      </c>
      <c r="F317" s="14" t="s">
        <v>10</v>
      </c>
      <c r="G317" s="13" t="s">
        <v>18</v>
      </c>
    </row>
    <row r="318" spans="1:7" ht="12.75">
      <c r="A318" s="68" t="s">
        <v>522</v>
      </c>
      <c r="B318" s="69"/>
      <c r="C318" s="9" t="s">
        <v>102</v>
      </c>
      <c r="D318" s="9" t="s">
        <v>102</v>
      </c>
      <c r="E318" s="10" t="s">
        <v>43</v>
      </c>
      <c r="F318" s="10" t="s">
        <v>102</v>
      </c>
      <c r="G318" s="9" t="s">
        <v>11</v>
      </c>
    </row>
    <row r="319" spans="1:7" ht="12.75">
      <c r="A319" s="62" t="s">
        <v>523</v>
      </c>
      <c r="B319" s="63"/>
      <c r="C319" s="9">
        <v>1989</v>
      </c>
      <c r="D319" s="9" t="s">
        <v>96</v>
      </c>
      <c r="E319" s="10" t="s">
        <v>9</v>
      </c>
      <c r="F319" s="10" t="s">
        <v>10</v>
      </c>
      <c r="G319" s="9" t="s">
        <v>11</v>
      </c>
    </row>
    <row r="320" spans="1:7" ht="12.75">
      <c r="A320" s="62" t="s">
        <v>524</v>
      </c>
      <c r="B320" s="63"/>
      <c r="C320" s="9">
        <v>1988</v>
      </c>
      <c r="D320" s="9" t="s">
        <v>73</v>
      </c>
      <c r="E320" s="10" t="s">
        <v>9</v>
      </c>
      <c r="F320" s="10" t="s">
        <v>10</v>
      </c>
      <c r="G320" s="9" t="s">
        <v>11</v>
      </c>
    </row>
    <row r="321" spans="1:7" ht="12.75">
      <c r="A321" s="68" t="s">
        <v>525</v>
      </c>
      <c r="B321" s="69"/>
      <c r="C321" s="9">
        <v>2000</v>
      </c>
      <c r="D321" s="82" t="s">
        <v>526</v>
      </c>
      <c r="E321" s="10" t="s">
        <v>67</v>
      </c>
      <c r="F321" s="10" t="s">
        <v>102</v>
      </c>
      <c r="G321" s="9" t="s">
        <v>11</v>
      </c>
    </row>
    <row r="322" spans="1:7" ht="12.75">
      <c r="A322" s="68" t="s">
        <v>527</v>
      </c>
      <c r="B322" s="69"/>
      <c r="C322" s="9">
        <v>1985</v>
      </c>
      <c r="D322" s="9" t="s">
        <v>528</v>
      </c>
      <c r="E322" s="10" t="s">
        <v>40</v>
      </c>
      <c r="F322" s="10" t="s">
        <v>10</v>
      </c>
      <c r="G322" s="9" t="s">
        <v>11</v>
      </c>
    </row>
    <row r="323" spans="1:7" ht="12.75">
      <c r="A323" s="83" t="s">
        <v>529</v>
      </c>
      <c r="B323" s="84"/>
      <c r="C323" s="85">
        <v>1984</v>
      </c>
      <c r="D323" s="85" t="s">
        <v>26</v>
      </c>
      <c r="E323" s="54" t="s">
        <v>9</v>
      </c>
      <c r="F323" s="54" t="s">
        <v>10</v>
      </c>
      <c r="G323" s="53" t="s">
        <v>361</v>
      </c>
    </row>
    <row r="324" spans="1:7" ht="12.75">
      <c r="A324" s="33" t="s">
        <v>530</v>
      </c>
      <c r="B324" s="61"/>
      <c r="C324" s="86">
        <v>1986</v>
      </c>
      <c r="D324" s="86" t="s">
        <v>128</v>
      </c>
      <c r="E324" s="87" t="s">
        <v>9</v>
      </c>
      <c r="F324" s="14" t="s">
        <v>27</v>
      </c>
      <c r="G324" s="86" t="s">
        <v>18</v>
      </c>
    </row>
    <row r="325" spans="1:7" ht="12.75">
      <c r="A325" s="62" t="s">
        <v>531</v>
      </c>
      <c r="B325" s="63"/>
      <c r="C325" s="9" t="s">
        <v>102</v>
      </c>
      <c r="D325" s="9" t="s">
        <v>319</v>
      </c>
      <c r="E325" s="10" t="s">
        <v>58</v>
      </c>
      <c r="F325" s="10" t="s">
        <v>10</v>
      </c>
      <c r="G325" s="9" t="s">
        <v>11</v>
      </c>
    </row>
    <row r="326" spans="1:7" ht="12.75">
      <c r="A326" s="62" t="s">
        <v>532</v>
      </c>
      <c r="B326" s="63"/>
      <c r="C326" s="9">
        <v>1983</v>
      </c>
      <c r="D326" s="9" t="s">
        <v>23</v>
      </c>
      <c r="E326" s="10" t="s">
        <v>9</v>
      </c>
      <c r="F326" s="10" t="s">
        <v>21</v>
      </c>
      <c r="G326" s="9" t="s">
        <v>11</v>
      </c>
    </row>
    <row r="327" spans="1:7" ht="12.75">
      <c r="A327" s="33" t="s">
        <v>533</v>
      </c>
      <c r="B327" s="61"/>
      <c r="C327" s="86">
        <v>1984</v>
      </c>
      <c r="D327" s="86" t="s">
        <v>62</v>
      </c>
      <c r="E327" s="87" t="s">
        <v>9</v>
      </c>
      <c r="F327" s="87" t="s">
        <v>21</v>
      </c>
      <c r="G327" s="86" t="s">
        <v>18</v>
      </c>
    </row>
    <row r="328" spans="1:7" ht="12.75">
      <c r="A328" s="88" t="s">
        <v>534</v>
      </c>
      <c r="B328" s="89"/>
      <c r="C328" s="13">
        <v>2002</v>
      </c>
      <c r="D328" s="13" t="s">
        <v>78</v>
      </c>
      <c r="E328" s="14" t="s">
        <v>79</v>
      </c>
      <c r="F328" s="14" t="s">
        <v>21</v>
      </c>
      <c r="G328" s="13" t="s">
        <v>18</v>
      </c>
    </row>
    <row r="329" spans="1:7" ht="12.75">
      <c r="A329" s="62" t="s">
        <v>535</v>
      </c>
      <c r="B329" s="63"/>
      <c r="C329" s="9">
        <v>1985</v>
      </c>
      <c r="D329" s="9" t="s">
        <v>319</v>
      </c>
      <c r="E329" s="10" t="s">
        <v>67</v>
      </c>
      <c r="F329" s="10" t="s">
        <v>10</v>
      </c>
      <c r="G329" s="9" t="s">
        <v>11</v>
      </c>
    </row>
    <row r="330" spans="1:7" ht="12.75">
      <c r="A330" s="62" t="s">
        <v>536</v>
      </c>
      <c r="B330" s="63"/>
      <c r="C330" s="9">
        <v>1985</v>
      </c>
      <c r="D330" s="9" t="s">
        <v>206</v>
      </c>
      <c r="E330" s="10" t="s">
        <v>67</v>
      </c>
      <c r="F330" s="10" t="s">
        <v>10</v>
      </c>
      <c r="G330" s="9" t="s">
        <v>11</v>
      </c>
    </row>
    <row r="331" spans="1:7" ht="12.75">
      <c r="A331" s="33" t="s">
        <v>537</v>
      </c>
      <c r="B331" s="61"/>
      <c r="C331" s="13">
        <v>1983</v>
      </c>
      <c r="D331" s="13" t="s">
        <v>206</v>
      </c>
      <c r="E331" s="14" t="s">
        <v>17</v>
      </c>
      <c r="F331" s="14" t="s">
        <v>21</v>
      </c>
      <c r="G331" s="13" t="s">
        <v>18</v>
      </c>
    </row>
    <row r="332" spans="1:7" ht="12.75">
      <c r="A332" s="33" t="s">
        <v>538</v>
      </c>
      <c r="B332" s="61"/>
      <c r="C332" s="13">
        <v>1985</v>
      </c>
      <c r="D332" s="13" t="s">
        <v>206</v>
      </c>
      <c r="E332" s="14" t="s">
        <v>460</v>
      </c>
      <c r="F332" s="14" t="s">
        <v>21</v>
      </c>
      <c r="G332" s="13" t="s">
        <v>18</v>
      </c>
    </row>
    <row r="333" spans="1:7" ht="12.75">
      <c r="A333" s="33" t="s">
        <v>539</v>
      </c>
      <c r="B333" s="61"/>
      <c r="C333" s="13">
        <v>1984</v>
      </c>
      <c r="D333" s="13" t="s">
        <v>206</v>
      </c>
      <c r="E333" s="14" t="s">
        <v>207</v>
      </c>
      <c r="F333" s="14" t="s">
        <v>21</v>
      </c>
      <c r="G333" s="13" t="s">
        <v>18</v>
      </c>
    </row>
    <row r="334" spans="1:7" ht="12.75">
      <c r="A334" s="33" t="s">
        <v>540</v>
      </c>
      <c r="B334" s="61"/>
      <c r="C334" s="13">
        <v>1984</v>
      </c>
      <c r="D334" s="13" t="s">
        <v>206</v>
      </c>
      <c r="E334" s="14" t="s">
        <v>207</v>
      </c>
      <c r="F334" s="14" t="s">
        <v>21</v>
      </c>
      <c r="G334" s="13" t="s">
        <v>18</v>
      </c>
    </row>
    <row r="335" spans="1:7" ht="12.75">
      <c r="A335" s="62" t="s">
        <v>541</v>
      </c>
      <c r="B335" s="63"/>
      <c r="C335" s="9">
        <v>2004</v>
      </c>
      <c r="D335" s="9" t="s">
        <v>456</v>
      </c>
      <c r="E335" s="10" t="s">
        <v>43</v>
      </c>
      <c r="F335" s="10" t="s">
        <v>21</v>
      </c>
      <c r="G335" s="9" t="s">
        <v>11</v>
      </c>
    </row>
    <row r="336" spans="1:7" ht="12.75">
      <c r="A336" s="68" t="s">
        <v>542</v>
      </c>
      <c r="B336" s="69"/>
      <c r="C336" s="9">
        <v>1988</v>
      </c>
      <c r="D336" s="9" t="s">
        <v>543</v>
      </c>
      <c r="E336" s="10" t="s">
        <v>55</v>
      </c>
      <c r="F336" s="10" t="s">
        <v>102</v>
      </c>
      <c r="G336" s="9" t="s">
        <v>11</v>
      </c>
    </row>
    <row r="337" spans="1:7" ht="12.75">
      <c r="A337" s="62" t="s">
        <v>544</v>
      </c>
      <c r="B337" s="63"/>
      <c r="C337" s="9">
        <v>1983</v>
      </c>
      <c r="D337" s="9" t="s">
        <v>545</v>
      </c>
      <c r="E337" s="10" t="s">
        <v>9</v>
      </c>
      <c r="F337" s="10" t="s">
        <v>21</v>
      </c>
      <c r="G337" s="9" t="s">
        <v>11</v>
      </c>
    </row>
    <row r="338" spans="1:7" ht="12.75">
      <c r="A338" s="62" t="s">
        <v>546</v>
      </c>
      <c r="B338" s="63"/>
      <c r="C338" s="9">
        <v>1986</v>
      </c>
      <c r="D338" s="9" t="s">
        <v>481</v>
      </c>
      <c r="E338" s="10" t="s">
        <v>272</v>
      </c>
      <c r="F338" s="44" t="s">
        <v>132</v>
      </c>
      <c r="G338" s="9" t="s">
        <v>11</v>
      </c>
    </row>
    <row r="339" spans="1:7" ht="12.75">
      <c r="A339" s="68" t="s">
        <v>547</v>
      </c>
      <c r="B339" s="69"/>
      <c r="C339" s="9">
        <v>1986</v>
      </c>
      <c r="D339" s="9" t="s">
        <v>404</v>
      </c>
      <c r="E339" s="10" t="s">
        <v>51</v>
      </c>
      <c r="F339" s="10" t="s">
        <v>10</v>
      </c>
      <c r="G339" s="9" t="s">
        <v>11</v>
      </c>
    </row>
    <row r="340" spans="1:7" ht="12.75">
      <c r="A340" s="62" t="s">
        <v>548</v>
      </c>
      <c r="B340" s="63"/>
      <c r="C340" s="9">
        <v>1983</v>
      </c>
      <c r="D340" s="9" t="s">
        <v>227</v>
      </c>
      <c r="E340" s="10" t="s">
        <v>9</v>
      </c>
      <c r="F340" s="10" t="s">
        <v>10</v>
      </c>
      <c r="G340" s="9" t="s">
        <v>11</v>
      </c>
    </row>
    <row r="341" spans="1:7" ht="12.75">
      <c r="A341" s="33" t="s">
        <v>549</v>
      </c>
      <c r="B341" s="61"/>
      <c r="C341" s="13">
        <v>1989</v>
      </c>
      <c r="D341" s="13" t="s">
        <v>135</v>
      </c>
      <c r="E341" s="14" t="s">
        <v>43</v>
      </c>
      <c r="F341" s="14" t="s">
        <v>10</v>
      </c>
      <c r="G341" s="13" t="s">
        <v>18</v>
      </c>
    </row>
    <row r="342" spans="1:7" ht="12.75">
      <c r="A342" s="62" t="s">
        <v>550</v>
      </c>
      <c r="B342" s="63"/>
      <c r="C342" s="9">
        <v>1985</v>
      </c>
      <c r="D342" s="9" t="s">
        <v>32</v>
      </c>
      <c r="E342" s="10" t="s">
        <v>40</v>
      </c>
      <c r="F342" s="10" t="s">
        <v>10</v>
      </c>
      <c r="G342" s="9" t="s">
        <v>11</v>
      </c>
    </row>
    <row r="343" spans="1:7" ht="12.75">
      <c r="A343" s="68" t="s">
        <v>551</v>
      </c>
      <c r="B343" s="69"/>
      <c r="C343" s="9" t="s">
        <v>102</v>
      </c>
      <c r="D343" s="9" t="s">
        <v>552</v>
      </c>
      <c r="E343" s="10" t="s">
        <v>9</v>
      </c>
      <c r="F343" s="10" t="s">
        <v>102</v>
      </c>
      <c r="G343" s="9" t="s">
        <v>11</v>
      </c>
    </row>
    <row r="344" spans="1:7" ht="12.75">
      <c r="A344" s="62" t="s">
        <v>553</v>
      </c>
      <c r="B344" s="63"/>
      <c r="C344" s="9">
        <v>1989</v>
      </c>
      <c r="D344" s="9" t="s">
        <v>69</v>
      </c>
      <c r="E344" s="10" t="s">
        <v>275</v>
      </c>
      <c r="F344" s="10" t="s">
        <v>10</v>
      </c>
      <c r="G344" s="9" t="s">
        <v>11</v>
      </c>
    </row>
    <row r="345" spans="1:7" ht="12.75">
      <c r="A345" s="62" t="s">
        <v>554</v>
      </c>
      <c r="B345" s="63"/>
      <c r="C345" s="9">
        <v>1986</v>
      </c>
      <c r="D345" s="9" t="s">
        <v>69</v>
      </c>
      <c r="E345" s="10" t="s">
        <v>275</v>
      </c>
      <c r="F345" s="10" t="s">
        <v>10</v>
      </c>
      <c r="G345" s="9" t="s">
        <v>11</v>
      </c>
    </row>
    <row r="346" spans="1:7" ht="12.75">
      <c r="A346" s="62" t="s">
        <v>555</v>
      </c>
      <c r="B346" s="63"/>
      <c r="C346" s="9">
        <v>1988</v>
      </c>
      <c r="D346" s="9" t="s">
        <v>302</v>
      </c>
      <c r="E346" s="10" t="s">
        <v>275</v>
      </c>
      <c r="F346" s="10" t="s">
        <v>10</v>
      </c>
      <c r="G346" s="9" t="s">
        <v>11</v>
      </c>
    </row>
    <row r="347" spans="1:7" ht="12.75">
      <c r="A347" s="62" t="s">
        <v>556</v>
      </c>
      <c r="B347" s="63"/>
      <c r="C347" s="9">
        <v>2005</v>
      </c>
      <c r="D347" s="9" t="s">
        <v>557</v>
      </c>
      <c r="E347" s="10" t="s">
        <v>24</v>
      </c>
      <c r="F347" s="10" t="s">
        <v>21</v>
      </c>
      <c r="G347" s="9" t="s">
        <v>11</v>
      </c>
    </row>
    <row r="348" spans="1:7" ht="12.75">
      <c r="A348" s="62" t="s">
        <v>558</v>
      </c>
      <c r="B348" s="63"/>
      <c r="C348" s="9">
        <v>1989</v>
      </c>
      <c r="D348" s="9" t="s">
        <v>73</v>
      </c>
      <c r="E348" s="10" t="s">
        <v>275</v>
      </c>
      <c r="F348" s="10" t="s">
        <v>10</v>
      </c>
      <c r="G348" s="9" t="s">
        <v>11</v>
      </c>
    </row>
    <row r="349" spans="1:7" ht="12.75">
      <c r="A349" s="62" t="s">
        <v>559</v>
      </c>
      <c r="B349" s="63"/>
      <c r="C349" s="90">
        <v>1988</v>
      </c>
      <c r="D349" s="91" t="s">
        <v>39</v>
      </c>
      <c r="E349" s="92" t="s">
        <v>9</v>
      </c>
      <c r="F349" s="92" t="s">
        <v>10</v>
      </c>
      <c r="G349" s="91" t="s">
        <v>11</v>
      </c>
    </row>
    <row r="350" spans="1:7" ht="12.75">
      <c r="A350" s="62" t="s">
        <v>560</v>
      </c>
      <c r="B350" s="63"/>
      <c r="C350" s="9">
        <v>1987</v>
      </c>
      <c r="D350" s="9" t="s">
        <v>561</v>
      </c>
      <c r="E350" s="10" t="s">
        <v>291</v>
      </c>
      <c r="F350" s="10" t="s">
        <v>52</v>
      </c>
      <c r="G350" s="9" t="s">
        <v>11</v>
      </c>
    </row>
    <row r="351" spans="1:7" ht="12.75">
      <c r="A351" s="33" t="s">
        <v>562</v>
      </c>
      <c r="B351" s="61"/>
      <c r="C351" s="13">
        <v>1985</v>
      </c>
      <c r="D351" s="13" t="s">
        <v>206</v>
      </c>
      <c r="E351" s="14" t="s">
        <v>24</v>
      </c>
      <c r="F351" s="14" t="s">
        <v>21</v>
      </c>
      <c r="G351" s="13" t="s">
        <v>18</v>
      </c>
    </row>
    <row r="352" spans="1:7" ht="12.75">
      <c r="A352" s="62" t="s">
        <v>563</v>
      </c>
      <c r="B352" s="63"/>
      <c r="C352" s="9">
        <v>1987</v>
      </c>
      <c r="D352" s="9" t="s">
        <v>317</v>
      </c>
      <c r="E352" s="10" t="s">
        <v>24</v>
      </c>
      <c r="F352" s="10" t="s">
        <v>10</v>
      </c>
      <c r="G352" s="9" t="s">
        <v>11</v>
      </c>
    </row>
    <row r="353" spans="1:7" ht="12.75">
      <c r="A353" s="62" t="s">
        <v>564</v>
      </c>
      <c r="B353" s="63"/>
      <c r="C353" s="9">
        <v>1985</v>
      </c>
      <c r="D353" s="9" t="s">
        <v>206</v>
      </c>
      <c r="E353" s="10" t="s">
        <v>67</v>
      </c>
      <c r="F353" s="10" t="s">
        <v>27</v>
      </c>
      <c r="G353" s="9" t="s">
        <v>11</v>
      </c>
    </row>
    <row r="354" spans="1:7" ht="12.75">
      <c r="A354" s="68" t="s">
        <v>564</v>
      </c>
      <c r="B354" s="69"/>
      <c r="C354" s="9">
        <v>1987</v>
      </c>
      <c r="D354" s="9" t="s">
        <v>565</v>
      </c>
      <c r="E354" s="10" t="s">
        <v>102</v>
      </c>
      <c r="F354" s="10" t="s">
        <v>102</v>
      </c>
      <c r="G354" s="9" t="s">
        <v>11</v>
      </c>
    </row>
    <row r="355" spans="1:7" ht="12.75">
      <c r="A355" s="33" t="s">
        <v>566</v>
      </c>
      <c r="B355" s="61"/>
      <c r="C355" s="13">
        <v>1985</v>
      </c>
      <c r="D355" s="13" t="s">
        <v>567</v>
      </c>
      <c r="E355" s="14" t="s">
        <v>291</v>
      </c>
      <c r="F355" s="14" t="s">
        <v>27</v>
      </c>
      <c r="G355" s="13" t="s">
        <v>18</v>
      </c>
    </row>
    <row r="356" spans="1:7" ht="12.75">
      <c r="A356" s="33" t="s">
        <v>568</v>
      </c>
      <c r="B356" s="61"/>
      <c r="C356" s="13">
        <v>1988</v>
      </c>
      <c r="D356" s="13" t="s">
        <v>569</v>
      </c>
      <c r="E356" s="14" t="s">
        <v>9</v>
      </c>
      <c r="F356" s="14" t="s">
        <v>52</v>
      </c>
      <c r="G356" s="13" t="s">
        <v>18</v>
      </c>
    </row>
    <row r="357" spans="1:7" ht="12.75">
      <c r="A357" s="33" t="s">
        <v>570</v>
      </c>
      <c r="B357" s="61"/>
      <c r="C357" s="13">
        <v>2005</v>
      </c>
      <c r="D357" s="13" t="s">
        <v>456</v>
      </c>
      <c r="E357" s="14" t="s">
        <v>9</v>
      </c>
      <c r="F357" s="14" t="s">
        <v>21</v>
      </c>
      <c r="G357" s="13" t="s">
        <v>18</v>
      </c>
    </row>
    <row r="358" spans="1:7" ht="12.75">
      <c r="A358" s="33" t="s">
        <v>571</v>
      </c>
      <c r="B358" s="61"/>
      <c r="C358" s="13">
        <v>1983</v>
      </c>
      <c r="D358" s="13" t="s">
        <v>23</v>
      </c>
      <c r="E358" s="14" t="s">
        <v>9</v>
      </c>
      <c r="F358" s="14" t="s">
        <v>21</v>
      </c>
      <c r="G358" s="13" t="s">
        <v>18</v>
      </c>
    </row>
    <row r="359" spans="1:7" ht="12.75">
      <c r="A359" s="62" t="s">
        <v>572</v>
      </c>
      <c r="B359" s="63"/>
      <c r="C359" s="9">
        <v>1988</v>
      </c>
      <c r="D359" s="9" t="s">
        <v>573</v>
      </c>
      <c r="E359" s="10" t="s">
        <v>9</v>
      </c>
      <c r="F359" s="10" t="s">
        <v>10</v>
      </c>
      <c r="G359" s="9" t="s">
        <v>11</v>
      </c>
    </row>
    <row r="360" spans="1:7" ht="12.75">
      <c r="A360" s="33" t="s">
        <v>574</v>
      </c>
      <c r="B360" s="61"/>
      <c r="C360" s="13">
        <v>2006</v>
      </c>
      <c r="D360" s="13" t="s">
        <v>575</v>
      </c>
      <c r="E360" s="14" t="s">
        <v>307</v>
      </c>
      <c r="F360" s="14" t="s">
        <v>21</v>
      </c>
      <c r="G360" s="13" t="s">
        <v>18</v>
      </c>
    </row>
    <row r="361" spans="1:7" ht="12.75">
      <c r="A361" s="33" t="s">
        <v>576</v>
      </c>
      <c r="B361" s="61"/>
      <c r="C361" s="13">
        <v>1983</v>
      </c>
      <c r="D361" s="13" t="s">
        <v>62</v>
      </c>
      <c r="E361" s="14" t="s">
        <v>272</v>
      </c>
      <c r="F361" s="14" t="s">
        <v>21</v>
      </c>
      <c r="G361" s="13" t="s">
        <v>18</v>
      </c>
    </row>
    <row r="362" spans="1:7" ht="12.75">
      <c r="A362" s="68" t="s">
        <v>577</v>
      </c>
      <c r="B362" s="69"/>
      <c r="C362" s="9" t="s">
        <v>102</v>
      </c>
      <c r="D362" s="9" t="s">
        <v>102</v>
      </c>
      <c r="E362" s="10" t="s">
        <v>17</v>
      </c>
      <c r="F362" s="10" t="s">
        <v>102</v>
      </c>
      <c r="G362" s="9" t="s">
        <v>11</v>
      </c>
    </row>
    <row r="363" spans="1:7" ht="12.75">
      <c r="A363" s="62" t="s">
        <v>578</v>
      </c>
      <c r="B363" s="63"/>
      <c r="C363" s="9">
        <v>1986</v>
      </c>
      <c r="D363" s="9" t="s">
        <v>579</v>
      </c>
      <c r="E363" s="10" t="s">
        <v>40</v>
      </c>
      <c r="F363" s="10" t="s">
        <v>10</v>
      </c>
      <c r="G363" s="9" t="s">
        <v>11</v>
      </c>
    </row>
    <row r="364" spans="1:7" ht="12.75">
      <c r="A364" s="38" t="s">
        <v>580</v>
      </c>
      <c r="B364" s="39"/>
      <c r="C364" s="9">
        <v>1989</v>
      </c>
      <c r="D364" s="9" t="s">
        <v>581</v>
      </c>
      <c r="E364" s="10" t="s">
        <v>9</v>
      </c>
      <c r="F364" s="10" t="s">
        <v>102</v>
      </c>
      <c r="G364" s="9" t="s">
        <v>11</v>
      </c>
    </row>
    <row r="365" spans="1:7" ht="12.75">
      <c r="A365" s="34" t="s">
        <v>582</v>
      </c>
      <c r="B365" s="58"/>
      <c r="C365" s="13">
        <v>1986</v>
      </c>
      <c r="D365" s="13" t="s">
        <v>512</v>
      </c>
      <c r="E365" s="14" t="s">
        <v>9</v>
      </c>
      <c r="F365" s="14" t="s">
        <v>21</v>
      </c>
      <c r="G365" s="13" t="s">
        <v>18</v>
      </c>
    </row>
    <row r="366" spans="1:7" ht="12.75">
      <c r="A366" s="62" t="s">
        <v>583</v>
      </c>
      <c r="B366" s="63"/>
      <c r="C366" s="9" t="s">
        <v>102</v>
      </c>
      <c r="D366" s="9" t="s">
        <v>102</v>
      </c>
      <c r="E366" s="10" t="s">
        <v>9</v>
      </c>
      <c r="F366" s="10" t="s">
        <v>102</v>
      </c>
      <c r="G366" s="9" t="s">
        <v>11</v>
      </c>
    </row>
    <row r="367" spans="1:7" ht="12.75">
      <c r="A367" s="68" t="s">
        <v>584</v>
      </c>
      <c r="B367" s="69"/>
      <c r="C367" s="9" t="s">
        <v>102</v>
      </c>
      <c r="D367" s="9" t="s">
        <v>585</v>
      </c>
      <c r="E367" s="10" t="s">
        <v>67</v>
      </c>
      <c r="F367" s="10" t="s">
        <v>102</v>
      </c>
      <c r="G367" s="9" t="s">
        <v>11</v>
      </c>
    </row>
    <row r="368" spans="1:7" ht="12.75">
      <c r="A368" s="34" t="s">
        <v>586</v>
      </c>
      <c r="B368" s="58"/>
      <c r="C368" s="13">
        <v>1985</v>
      </c>
      <c r="D368" s="13" t="s">
        <v>128</v>
      </c>
      <c r="E368" s="14" t="s">
        <v>9</v>
      </c>
      <c r="F368" s="67" t="s">
        <v>132</v>
      </c>
      <c r="G368" s="13" t="s">
        <v>18</v>
      </c>
    </row>
    <row r="369" spans="1:7" ht="12.75">
      <c r="A369" s="33" t="s">
        <v>587</v>
      </c>
      <c r="B369" s="61"/>
      <c r="C369" s="13">
        <v>1986</v>
      </c>
      <c r="D369" s="13" t="s">
        <v>588</v>
      </c>
      <c r="E369" s="14" t="s">
        <v>307</v>
      </c>
      <c r="F369" s="14" t="s">
        <v>102</v>
      </c>
      <c r="G369" s="13" t="s">
        <v>18</v>
      </c>
    </row>
    <row r="370" spans="1:7" ht="12.75">
      <c r="A370" s="62" t="s">
        <v>589</v>
      </c>
      <c r="B370" s="63"/>
      <c r="C370" s="9">
        <v>1985</v>
      </c>
      <c r="D370" s="9" t="s">
        <v>14</v>
      </c>
      <c r="E370" s="10" t="s">
        <v>307</v>
      </c>
      <c r="F370" s="10" t="s">
        <v>10</v>
      </c>
      <c r="G370" s="9" t="s">
        <v>11</v>
      </c>
    </row>
    <row r="371" spans="1:7" ht="12.75">
      <c r="A371" s="33" t="s">
        <v>590</v>
      </c>
      <c r="B371" s="61"/>
      <c r="C371" s="13">
        <v>1986</v>
      </c>
      <c r="D371" s="13" t="s">
        <v>123</v>
      </c>
      <c r="E371" s="14" t="s">
        <v>307</v>
      </c>
      <c r="F371" s="14" t="s">
        <v>10</v>
      </c>
      <c r="G371" s="13" t="s">
        <v>18</v>
      </c>
    </row>
    <row r="372" spans="1:7" ht="12.75">
      <c r="A372" s="68" t="s">
        <v>591</v>
      </c>
      <c r="B372" s="69"/>
      <c r="C372" s="9">
        <v>1987</v>
      </c>
      <c r="D372" s="9" t="s">
        <v>592</v>
      </c>
      <c r="E372" s="10" t="s">
        <v>307</v>
      </c>
      <c r="F372" s="10" t="s">
        <v>102</v>
      </c>
      <c r="G372" s="9" t="s">
        <v>11</v>
      </c>
    </row>
    <row r="373" spans="1:7" ht="12.75">
      <c r="A373" s="34" t="s">
        <v>593</v>
      </c>
      <c r="B373" s="58"/>
      <c r="C373" s="13">
        <v>2005</v>
      </c>
      <c r="D373" s="13" t="s">
        <v>594</v>
      </c>
      <c r="E373" s="14" t="s">
        <v>51</v>
      </c>
      <c r="F373" s="14" t="s">
        <v>21</v>
      </c>
      <c r="G373" s="13" t="s">
        <v>18</v>
      </c>
    </row>
    <row r="374" spans="1:7" ht="12.75">
      <c r="A374" s="62" t="s">
        <v>595</v>
      </c>
      <c r="B374" s="63"/>
      <c r="C374" s="9">
        <v>1989</v>
      </c>
      <c r="D374" s="9" t="s">
        <v>96</v>
      </c>
      <c r="E374" s="10" t="s">
        <v>275</v>
      </c>
      <c r="F374" s="10" t="s">
        <v>10</v>
      </c>
      <c r="G374" s="9" t="s">
        <v>11</v>
      </c>
    </row>
    <row r="375" spans="1:7" ht="12.75">
      <c r="A375" s="62" t="s">
        <v>596</v>
      </c>
      <c r="B375" s="63"/>
      <c r="C375" s="9">
        <v>1988</v>
      </c>
      <c r="D375" s="9" t="s">
        <v>64</v>
      </c>
      <c r="E375" s="10" t="s">
        <v>275</v>
      </c>
      <c r="F375" s="10" t="s">
        <v>10</v>
      </c>
      <c r="G375" s="9" t="s">
        <v>11</v>
      </c>
    </row>
    <row r="376" spans="1:7" ht="12.75">
      <c r="A376" s="62" t="s">
        <v>597</v>
      </c>
      <c r="B376" s="63"/>
      <c r="C376" s="9">
        <v>1985</v>
      </c>
      <c r="D376" s="25" t="s">
        <v>119</v>
      </c>
      <c r="E376" s="10" t="s">
        <v>24</v>
      </c>
      <c r="F376" s="10" t="s">
        <v>10</v>
      </c>
      <c r="G376" s="9" t="s">
        <v>11</v>
      </c>
    </row>
    <row r="377" spans="1:7" ht="12.75">
      <c r="A377" s="68" t="s">
        <v>598</v>
      </c>
      <c r="B377" s="69"/>
      <c r="C377" s="9" t="s">
        <v>102</v>
      </c>
      <c r="D377" s="9" t="s">
        <v>102</v>
      </c>
      <c r="E377" s="10" t="s">
        <v>24</v>
      </c>
      <c r="F377" s="10" t="s">
        <v>102</v>
      </c>
      <c r="G377" s="9" t="s">
        <v>11</v>
      </c>
    </row>
    <row r="378" spans="1:7" ht="12.75">
      <c r="A378" s="62" t="s">
        <v>599</v>
      </c>
      <c r="B378" s="63"/>
      <c r="C378" s="9">
        <v>1985</v>
      </c>
      <c r="D378" s="9" t="s">
        <v>600</v>
      </c>
      <c r="E378" s="10" t="s">
        <v>460</v>
      </c>
      <c r="F378" s="10" t="s">
        <v>48</v>
      </c>
      <c r="G378" s="9" t="s">
        <v>11</v>
      </c>
    </row>
    <row r="379" spans="1:7" ht="12.75">
      <c r="A379" s="88" t="s">
        <v>601</v>
      </c>
      <c r="B379" s="89"/>
      <c r="C379" s="13" t="s">
        <v>102</v>
      </c>
      <c r="D379" s="13" t="s">
        <v>102</v>
      </c>
      <c r="E379" s="14" t="s">
        <v>9</v>
      </c>
      <c r="F379" s="14" t="s">
        <v>102</v>
      </c>
      <c r="G379" s="13" t="s">
        <v>18</v>
      </c>
    </row>
    <row r="380" spans="1:7" ht="12.75">
      <c r="A380" s="33" t="s">
        <v>602</v>
      </c>
      <c r="B380" s="61"/>
      <c r="C380" s="13">
        <v>2006</v>
      </c>
      <c r="D380" s="13" t="s">
        <v>503</v>
      </c>
      <c r="E380" s="14" t="s">
        <v>307</v>
      </c>
      <c r="F380" s="14" t="s">
        <v>21</v>
      </c>
      <c r="G380" s="13" t="s">
        <v>18</v>
      </c>
    </row>
    <row r="381" spans="1:7" ht="12.75">
      <c r="A381" s="34" t="s">
        <v>603</v>
      </c>
      <c r="B381" s="58"/>
      <c r="C381" s="13">
        <v>1985</v>
      </c>
      <c r="D381" s="13" t="s">
        <v>604</v>
      </c>
      <c r="E381" s="14" t="s">
        <v>9</v>
      </c>
      <c r="F381" s="14" t="s">
        <v>10</v>
      </c>
      <c r="G381" s="13" t="s">
        <v>18</v>
      </c>
    </row>
    <row r="382" spans="1:7" ht="12.75">
      <c r="A382" s="93" t="s">
        <v>605</v>
      </c>
      <c r="B382" s="94"/>
      <c r="C382" s="9">
        <v>1984</v>
      </c>
      <c r="D382" s="9" t="s">
        <v>239</v>
      </c>
      <c r="E382" s="10" t="s">
        <v>17</v>
      </c>
      <c r="F382" s="10" t="s">
        <v>21</v>
      </c>
      <c r="G382" s="9" t="s">
        <v>11</v>
      </c>
    </row>
    <row r="383" spans="1:7" ht="12.75">
      <c r="A383" s="34" t="s">
        <v>606</v>
      </c>
      <c r="B383" s="58"/>
      <c r="C383" s="13">
        <v>1987</v>
      </c>
      <c r="D383" s="13" t="s">
        <v>29</v>
      </c>
      <c r="E383" s="14" t="s">
        <v>251</v>
      </c>
      <c r="F383" s="14" t="s">
        <v>52</v>
      </c>
      <c r="G383" s="13" t="s">
        <v>18</v>
      </c>
    </row>
    <row r="384" spans="1:7" ht="12.75">
      <c r="A384" s="34" t="s">
        <v>607</v>
      </c>
      <c r="B384" s="58"/>
      <c r="C384" s="13">
        <v>1985</v>
      </c>
      <c r="D384" s="13" t="s">
        <v>372</v>
      </c>
      <c r="E384" s="14" t="s">
        <v>43</v>
      </c>
      <c r="F384" s="14" t="s">
        <v>27</v>
      </c>
      <c r="G384" s="13" t="s">
        <v>18</v>
      </c>
    </row>
    <row r="385" spans="1:7" ht="12.75">
      <c r="A385" s="95" t="s">
        <v>608</v>
      </c>
      <c r="B385" s="96"/>
      <c r="C385" s="97">
        <v>1985</v>
      </c>
      <c r="D385" s="97" t="s">
        <v>167</v>
      </c>
      <c r="E385" s="98" t="s">
        <v>307</v>
      </c>
      <c r="F385" s="98" t="s">
        <v>10</v>
      </c>
      <c r="G385" s="97" t="s">
        <v>11</v>
      </c>
    </row>
    <row r="386" spans="1:7" ht="12.75">
      <c r="A386" s="33" t="s">
        <v>609</v>
      </c>
      <c r="B386" s="61"/>
      <c r="C386" s="13">
        <v>1989</v>
      </c>
      <c r="D386" s="13" t="s">
        <v>543</v>
      </c>
      <c r="E386" s="14" t="s">
        <v>55</v>
      </c>
      <c r="F386" s="14" t="s">
        <v>10</v>
      </c>
      <c r="G386" s="13" t="s">
        <v>18</v>
      </c>
    </row>
    <row r="387" spans="1:7" ht="12.75">
      <c r="A387" s="33" t="s">
        <v>610</v>
      </c>
      <c r="B387" s="61"/>
      <c r="C387" s="13">
        <v>2008</v>
      </c>
      <c r="D387" s="13" t="s">
        <v>611</v>
      </c>
      <c r="E387" s="14" t="s">
        <v>9</v>
      </c>
      <c r="F387" s="14" t="s">
        <v>21</v>
      </c>
      <c r="G387" s="13" t="s">
        <v>18</v>
      </c>
    </row>
    <row r="388" spans="1:7" ht="12.75">
      <c r="A388" s="95" t="s">
        <v>612</v>
      </c>
      <c r="B388" s="96"/>
      <c r="C388" s="97">
        <v>1984</v>
      </c>
      <c r="D388" s="97" t="s">
        <v>23</v>
      </c>
      <c r="E388" s="98" t="s">
        <v>24</v>
      </c>
      <c r="F388" s="98" t="s">
        <v>21</v>
      </c>
      <c r="G388" s="97" t="s">
        <v>11</v>
      </c>
    </row>
    <row r="389" spans="1:7" ht="12.75">
      <c r="A389" s="99" t="s">
        <v>613</v>
      </c>
      <c r="B389" s="100"/>
      <c r="C389" s="97">
        <v>1988</v>
      </c>
      <c r="D389" s="97" t="s">
        <v>614</v>
      </c>
      <c r="E389" s="98" t="s">
        <v>9</v>
      </c>
      <c r="F389" s="98" t="s">
        <v>102</v>
      </c>
      <c r="G389" s="97" t="s">
        <v>11</v>
      </c>
    </row>
    <row r="390" spans="1:7" ht="12.75">
      <c r="A390" s="95" t="s">
        <v>615</v>
      </c>
      <c r="B390" s="96"/>
      <c r="C390" s="97">
        <v>1985</v>
      </c>
      <c r="D390" s="97" t="s">
        <v>579</v>
      </c>
      <c r="E390" s="98" t="s">
        <v>55</v>
      </c>
      <c r="F390" s="98" t="s">
        <v>10</v>
      </c>
      <c r="G390" s="97" t="s">
        <v>11</v>
      </c>
    </row>
    <row r="391" spans="1:7" ht="12.75">
      <c r="A391" s="33" t="s">
        <v>616</v>
      </c>
      <c r="B391" s="61"/>
      <c r="C391" s="13">
        <v>1987</v>
      </c>
      <c r="D391" s="13" t="s">
        <v>181</v>
      </c>
      <c r="E391" s="14" t="s">
        <v>17</v>
      </c>
      <c r="F391" s="14" t="s">
        <v>10</v>
      </c>
      <c r="G391" s="13" t="s">
        <v>18</v>
      </c>
    </row>
    <row r="392" spans="1:7" ht="12.75">
      <c r="A392" s="33" t="s">
        <v>617</v>
      </c>
      <c r="B392" s="61"/>
      <c r="C392" s="13">
        <v>1984</v>
      </c>
      <c r="D392" s="13" t="s">
        <v>258</v>
      </c>
      <c r="E392" s="14" t="s">
        <v>17</v>
      </c>
      <c r="F392" s="14" t="s">
        <v>10</v>
      </c>
      <c r="G392" s="13" t="s">
        <v>18</v>
      </c>
    </row>
    <row r="393" spans="1:7" ht="12.75">
      <c r="A393" s="33" t="s">
        <v>618</v>
      </c>
      <c r="B393" s="61"/>
      <c r="C393" s="13">
        <v>1987</v>
      </c>
      <c r="D393" s="13" t="s">
        <v>135</v>
      </c>
      <c r="E393" s="14" t="s">
        <v>17</v>
      </c>
      <c r="F393" s="14" t="s">
        <v>10</v>
      </c>
      <c r="G393" s="13" t="s">
        <v>18</v>
      </c>
    </row>
    <row r="394" spans="1:7" ht="12.75">
      <c r="A394" s="101" t="s">
        <v>619</v>
      </c>
      <c r="B394" s="102"/>
      <c r="C394" s="97">
        <v>1984</v>
      </c>
      <c r="D394" s="97" t="s">
        <v>23</v>
      </c>
      <c r="E394" s="98" t="s">
        <v>24</v>
      </c>
      <c r="F394" s="98" t="s">
        <v>21</v>
      </c>
      <c r="G394" s="97" t="s">
        <v>11</v>
      </c>
    </row>
    <row r="395" spans="1:7" ht="12.75">
      <c r="A395" s="103" t="s">
        <v>620</v>
      </c>
      <c r="B395" s="102"/>
      <c r="C395" s="97">
        <v>1986</v>
      </c>
      <c r="D395" s="97" t="s">
        <v>128</v>
      </c>
      <c r="E395" s="98" t="s">
        <v>43</v>
      </c>
      <c r="F395" s="104" t="s">
        <v>132</v>
      </c>
      <c r="G395" s="97" t="s">
        <v>11</v>
      </c>
    </row>
    <row r="396" spans="1:7" ht="12.75">
      <c r="A396" s="34" t="s">
        <v>621</v>
      </c>
      <c r="B396" s="58"/>
      <c r="C396" s="13">
        <v>1984</v>
      </c>
      <c r="D396" s="13" t="s">
        <v>496</v>
      </c>
      <c r="E396" s="14" t="s">
        <v>24</v>
      </c>
      <c r="F396" s="14" t="s">
        <v>27</v>
      </c>
      <c r="G396" s="13" t="s">
        <v>18</v>
      </c>
    </row>
    <row r="397" spans="1:7" ht="12.75">
      <c r="A397" s="62" t="s">
        <v>622</v>
      </c>
      <c r="B397" s="63"/>
      <c r="C397" s="9">
        <v>1986</v>
      </c>
      <c r="D397" s="9" t="s">
        <v>623</v>
      </c>
      <c r="E397" s="10" t="s">
        <v>307</v>
      </c>
      <c r="F397" s="10" t="s">
        <v>10</v>
      </c>
      <c r="G397" s="9" t="s">
        <v>11</v>
      </c>
    </row>
    <row r="398" spans="1:7" ht="12.75">
      <c r="A398" s="62" t="s">
        <v>624</v>
      </c>
      <c r="B398" s="63"/>
      <c r="C398" s="9">
        <v>1986</v>
      </c>
      <c r="D398" s="9" t="s">
        <v>466</v>
      </c>
      <c r="E398" s="10" t="s">
        <v>43</v>
      </c>
      <c r="F398" s="10" t="s">
        <v>10</v>
      </c>
      <c r="G398" s="9" t="s">
        <v>11</v>
      </c>
    </row>
    <row r="399" spans="1:7" ht="12.75">
      <c r="A399" s="62" t="s">
        <v>625</v>
      </c>
      <c r="B399" s="63"/>
      <c r="C399" s="9">
        <v>1985</v>
      </c>
      <c r="D399" s="9" t="s">
        <v>579</v>
      </c>
      <c r="E399" s="10" t="s">
        <v>55</v>
      </c>
      <c r="F399" s="10" t="s">
        <v>10</v>
      </c>
      <c r="G399" s="9" t="s">
        <v>11</v>
      </c>
    </row>
    <row r="400" spans="1:7" ht="12.75">
      <c r="A400" s="62" t="s">
        <v>626</v>
      </c>
      <c r="B400" s="63"/>
      <c r="C400" s="9">
        <v>1987</v>
      </c>
      <c r="D400" s="9" t="s">
        <v>198</v>
      </c>
      <c r="E400" s="10" t="s">
        <v>9</v>
      </c>
      <c r="F400" s="10" t="s">
        <v>10</v>
      </c>
      <c r="G400" s="9" t="s">
        <v>11</v>
      </c>
    </row>
    <row r="401" spans="1:7" ht="12.75">
      <c r="A401" s="33" t="s">
        <v>627</v>
      </c>
      <c r="B401" s="61"/>
      <c r="C401" s="13">
        <v>1984</v>
      </c>
      <c r="D401" s="13" t="s">
        <v>109</v>
      </c>
      <c r="E401" s="14" t="s">
        <v>17</v>
      </c>
      <c r="F401" s="14" t="s">
        <v>27</v>
      </c>
      <c r="G401" s="13" t="s">
        <v>18</v>
      </c>
    </row>
    <row r="402" spans="1:7" ht="12.75">
      <c r="A402" s="105" t="s">
        <v>628</v>
      </c>
      <c r="B402" s="106"/>
      <c r="C402" s="13">
        <v>2008</v>
      </c>
      <c r="D402" s="46" t="s">
        <v>629</v>
      </c>
      <c r="E402" s="14"/>
      <c r="F402" s="14"/>
      <c r="G402" s="13"/>
    </row>
    <row r="403" spans="1:7" ht="12.75">
      <c r="A403" s="59" t="s">
        <v>630</v>
      </c>
      <c r="B403" s="60"/>
      <c r="C403" s="9">
        <v>1988</v>
      </c>
      <c r="D403" s="9" t="s">
        <v>631</v>
      </c>
      <c r="E403" s="10" t="s">
        <v>291</v>
      </c>
      <c r="F403" s="10" t="s">
        <v>52</v>
      </c>
      <c r="G403" s="9" t="s">
        <v>11</v>
      </c>
    </row>
    <row r="404" spans="1:7" ht="12.75">
      <c r="A404" s="59" t="s">
        <v>632</v>
      </c>
      <c r="B404" s="60"/>
      <c r="C404" s="9">
        <v>1988</v>
      </c>
      <c r="D404" s="9" t="s">
        <v>631</v>
      </c>
      <c r="E404" s="10" t="s">
        <v>291</v>
      </c>
      <c r="F404" s="10" t="s">
        <v>52</v>
      </c>
      <c r="G404" s="9" t="s">
        <v>11</v>
      </c>
    </row>
    <row r="405" spans="1:7" ht="12.75">
      <c r="A405" s="62" t="s">
        <v>633</v>
      </c>
      <c r="B405" s="63"/>
      <c r="C405" s="9">
        <v>1989</v>
      </c>
      <c r="D405" s="9" t="s">
        <v>634</v>
      </c>
      <c r="E405" s="10" t="s">
        <v>24</v>
      </c>
      <c r="F405" s="10" t="s">
        <v>10</v>
      </c>
      <c r="G405" s="9" t="s">
        <v>11</v>
      </c>
    </row>
    <row r="406" spans="1:7" ht="12.75">
      <c r="A406" s="38" t="s">
        <v>635</v>
      </c>
      <c r="B406" s="39"/>
      <c r="C406" s="9">
        <v>1984</v>
      </c>
      <c r="D406" s="9" t="s">
        <v>204</v>
      </c>
      <c r="E406" s="10" t="s">
        <v>24</v>
      </c>
      <c r="F406" s="10" t="s">
        <v>102</v>
      </c>
      <c r="G406" s="9" t="s">
        <v>11</v>
      </c>
    </row>
    <row r="407" spans="1:7" ht="12.75">
      <c r="A407" s="38" t="s">
        <v>636</v>
      </c>
      <c r="B407" s="39"/>
      <c r="C407" s="9" t="s">
        <v>102</v>
      </c>
      <c r="D407" s="9" t="s">
        <v>102</v>
      </c>
      <c r="E407" s="10" t="s">
        <v>24</v>
      </c>
      <c r="F407" s="10" t="s">
        <v>102</v>
      </c>
      <c r="G407" s="9" t="s">
        <v>11</v>
      </c>
    </row>
    <row r="408" spans="1:7" ht="12.75">
      <c r="A408" s="33" t="s">
        <v>637</v>
      </c>
      <c r="B408" s="61"/>
      <c r="C408" s="13">
        <v>1986</v>
      </c>
      <c r="D408" s="13" t="s">
        <v>387</v>
      </c>
      <c r="E408" s="14" t="s">
        <v>307</v>
      </c>
      <c r="F408" s="14" t="s">
        <v>21</v>
      </c>
      <c r="G408" s="13" t="s">
        <v>18</v>
      </c>
    </row>
    <row r="409" spans="1:7" ht="12.75">
      <c r="A409" s="34" t="s">
        <v>638</v>
      </c>
      <c r="B409" s="58"/>
      <c r="C409" s="13">
        <v>1987</v>
      </c>
      <c r="D409" s="13" t="s">
        <v>387</v>
      </c>
      <c r="E409" s="14" t="s">
        <v>307</v>
      </c>
      <c r="F409" s="14" t="s">
        <v>52</v>
      </c>
      <c r="G409" s="13" t="s">
        <v>18</v>
      </c>
    </row>
    <row r="410" spans="1:7" ht="12.75">
      <c r="A410" s="62" t="s">
        <v>639</v>
      </c>
      <c r="B410" s="63"/>
      <c r="C410" s="9">
        <v>1986</v>
      </c>
      <c r="D410" s="9" t="s">
        <v>640</v>
      </c>
      <c r="E410" s="10" t="s">
        <v>55</v>
      </c>
      <c r="F410" s="10" t="s">
        <v>10</v>
      </c>
      <c r="G410" s="9" t="s">
        <v>11</v>
      </c>
    </row>
    <row r="411" spans="1:7" ht="12.75">
      <c r="A411" s="62" t="s">
        <v>641</v>
      </c>
      <c r="B411" s="63"/>
      <c r="C411" s="9">
        <v>1986</v>
      </c>
      <c r="D411" s="9" t="s">
        <v>198</v>
      </c>
      <c r="E411" s="10" t="s">
        <v>24</v>
      </c>
      <c r="F411" s="10" t="s">
        <v>10</v>
      </c>
      <c r="G411" s="9" t="s">
        <v>11</v>
      </c>
    </row>
    <row r="412" spans="1:7" ht="12.75">
      <c r="A412" s="62" t="s">
        <v>642</v>
      </c>
      <c r="B412" s="63"/>
      <c r="C412" s="9">
        <v>1987</v>
      </c>
      <c r="D412" s="9" t="s">
        <v>113</v>
      </c>
      <c r="E412" s="10" t="s">
        <v>9</v>
      </c>
      <c r="F412" s="10" t="s">
        <v>10</v>
      </c>
      <c r="G412" s="9" t="s">
        <v>11</v>
      </c>
    </row>
    <row r="413" spans="1:7" ht="12.75">
      <c r="A413" s="62" t="s">
        <v>643</v>
      </c>
      <c r="B413" s="63"/>
      <c r="C413" s="9">
        <v>1991</v>
      </c>
      <c r="D413" s="9" t="s">
        <v>113</v>
      </c>
      <c r="E413" s="10" t="s">
        <v>9</v>
      </c>
      <c r="F413" s="10" t="s">
        <v>10</v>
      </c>
      <c r="G413" s="9" t="s">
        <v>11</v>
      </c>
    </row>
    <row r="414" spans="1:7" ht="12.75">
      <c r="A414" s="62" t="s">
        <v>644</v>
      </c>
      <c r="B414" s="63"/>
      <c r="C414" s="9">
        <v>1986</v>
      </c>
      <c r="D414" s="9" t="s">
        <v>85</v>
      </c>
      <c r="E414" s="10" t="s">
        <v>24</v>
      </c>
      <c r="F414" s="10" t="s">
        <v>10</v>
      </c>
      <c r="G414" s="9" t="s">
        <v>11</v>
      </c>
    </row>
    <row r="415" spans="1:7" ht="12.75">
      <c r="A415" s="62" t="s">
        <v>645</v>
      </c>
      <c r="B415" s="63"/>
      <c r="C415" s="9">
        <v>1986</v>
      </c>
      <c r="D415" s="9" t="s">
        <v>206</v>
      </c>
      <c r="E415" s="10" t="s">
        <v>55</v>
      </c>
      <c r="F415" s="10" t="s">
        <v>10</v>
      </c>
      <c r="G415" s="9" t="s">
        <v>11</v>
      </c>
    </row>
    <row r="416" spans="1:7" ht="12.75">
      <c r="A416" s="62" t="s">
        <v>646</v>
      </c>
      <c r="B416" s="63"/>
      <c r="C416" s="9">
        <v>1985</v>
      </c>
      <c r="D416" s="9" t="s">
        <v>85</v>
      </c>
      <c r="E416" s="10" t="s">
        <v>102</v>
      </c>
      <c r="F416" s="10" t="s">
        <v>10</v>
      </c>
      <c r="G416" s="9" t="s">
        <v>11</v>
      </c>
    </row>
    <row r="417" spans="1:7" ht="12.75">
      <c r="A417" s="62" t="s">
        <v>647</v>
      </c>
      <c r="B417" s="63"/>
      <c r="C417" s="9">
        <v>1990</v>
      </c>
      <c r="D417" s="9" t="s">
        <v>87</v>
      </c>
      <c r="E417" s="10" t="s">
        <v>291</v>
      </c>
      <c r="F417" s="10" t="s">
        <v>48</v>
      </c>
      <c r="G417" s="9" t="s">
        <v>11</v>
      </c>
    </row>
    <row r="418" spans="1:7" ht="12.75">
      <c r="A418" s="62" t="s">
        <v>648</v>
      </c>
      <c r="B418" s="63"/>
      <c r="C418" s="9">
        <v>1985</v>
      </c>
      <c r="D418" s="9" t="s">
        <v>649</v>
      </c>
      <c r="E418" s="10" t="s">
        <v>51</v>
      </c>
      <c r="F418" s="10" t="s">
        <v>10</v>
      </c>
      <c r="G418" s="9" t="s">
        <v>11</v>
      </c>
    </row>
    <row r="419" spans="1:7" ht="12.75">
      <c r="A419" s="59" t="s">
        <v>650</v>
      </c>
      <c r="B419" s="60"/>
      <c r="C419" s="9">
        <v>1984</v>
      </c>
      <c r="D419" s="9" t="s">
        <v>160</v>
      </c>
      <c r="E419" s="10" t="s">
        <v>24</v>
      </c>
      <c r="F419" s="10" t="s">
        <v>21</v>
      </c>
      <c r="G419" s="9" t="s">
        <v>11</v>
      </c>
    </row>
    <row r="420" spans="1:7" ht="12.75">
      <c r="A420" s="38" t="s">
        <v>651</v>
      </c>
      <c r="B420" s="39"/>
      <c r="C420" s="9" t="s">
        <v>102</v>
      </c>
      <c r="D420" s="9" t="s">
        <v>102</v>
      </c>
      <c r="E420" s="10" t="s">
        <v>275</v>
      </c>
      <c r="F420" s="10" t="s">
        <v>102</v>
      </c>
      <c r="G420" s="9" t="s">
        <v>11</v>
      </c>
    </row>
    <row r="421" spans="1:7" ht="12.75">
      <c r="A421" s="38" t="s">
        <v>652</v>
      </c>
      <c r="B421" s="39"/>
      <c r="C421" s="9">
        <v>1984</v>
      </c>
      <c r="D421" s="9" t="s">
        <v>26</v>
      </c>
      <c r="E421" s="10" t="s">
        <v>55</v>
      </c>
      <c r="F421" s="10" t="s">
        <v>102</v>
      </c>
      <c r="G421" s="9" t="s">
        <v>11</v>
      </c>
    </row>
    <row r="422" spans="1:7" ht="12.75">
      <c r="A422" s="38" t="s">
        <v>653</v>
      </c>
      <c r="B422" s="39"/>
      <c r="C422" s="9">
        <v>1986</v>
      </c>
      <c r="D422" s="9" t="s">
        <v>654</v>
      </c>
      <c r="E422" s="10" t="s">
        <v>307</v>
      </c>
      <c r="F422" s="10" t="s">
        <v>102</v>
      </c>
      <c r="G422" s="9" t="s">
        <v>11</v>
      </c>
    </row>
    <row r="423" spans="1:7" ht="12.75">
      <c r="A423" s="33" t="s">
        <v>655</v>
      </c>
      <c r="B423" s="61"/>
      <c r="C423" s="13">
        <v>1986</v>
      </c>
      <c r="D423" s="13" t="s">
        <v>181</v>
      </c>
      <c r="E423" s="14" t="s">
        <v>307</v>
      </c>
      <c r="F423" s="14" t="s">
        <v>10</v>
      </c>
      <c r="G423" s="13" t="s">
        <v>18</v>
      </c>
    </row>
    <row r="424" spans="1:7" ht="12.75">
      <c r="A424" s="33" t="s">
        <v>656</v>
      </c>
      <c r="B424" s="61"/>
      <c r="C424" s="13">
        <v>1984</v>
      </c>
      <c r="D424" s="13" t="s">
        <v>344</v>
      </c>
      <c r="E424" s="14" t="s">
        <v>275</v>
      </c>
      <c r="F424" s="14" t="s">
        <v>21</v>
      </c>
      <c r="G424" s="13" t="s">
        <v>18</v>
      </c>
    </row>
    <row r="425" spans="1:7" ht="12.75">
      <c r="A425" s="62" t="s">
        <v>657</v>
      </c>
      <c r="B425" s="63"/>
      <c r="C425" s="9">
        <v>1989</v>
      </c>
      <c r="D425" s="9" t="s">
        <v>91</v>
      </c>
      <c r="E425" s="10" t="s">
        <v>9</v>
      </c>
      <c r="F425" s="10" t="s">
        <v>10</v>
      </c>
      <c r="G425" s="9" t="s">
        <v>11</v>
      </c>
    </row>
    <row r="426" spans="1:7" ht="12.75">
      <c r="A426" s="33" t="s">
        <v>658</v>
      </c>
      <c r="B426" s="61"/>
      <c r="C426" s="13">
        <v>1986</v>
      </c>
      <c r="D426" s="13" t="s">
        <v>42</v>
      </c>
      <c r="E426" s="14" t="s">
        <v>51</v>
      </c>
      <c r="F426" s="14" t="s">
        <v>10</v>
      </c>
      <c r="G426" s="13" t="s">
        <v>18</v>
      </c>
    </row>
    <row r="427" spans="1:7" ht="12.75">
      <c r="A427" s="38" t="s">
        <v>659</v>
      </c>
      <c r="B427" s="39"/>
      <c r="C427" s="9">
        <v>1984</v>
      </c>
      <c r="D427" s="9" t="s">
        <v>277</v>
      </c>
      <c r="E427" s="10" t="s">
        <v>9</v>
      </c>
      <c r="F427" s="10" t="s">
        <v>102</v>
      </c>
      <c r="G427" s="9" t="s">
        <v>11</v>
      </c>
    </row>
    <row r="428" spans="1:7" ht="12.75">
      <c r="A428" s="62" t="s">
        <v>660</v>
      </c>
      <c r="B428" s="63"/>
      <c r="C428" s="9">
        <v>1985</v>
      </c>
      <c r="D428" s="9" t="s">
        <v>268</v>
      </c>
      <c r="E428" s="10" t="s">
        <v>9</v>
      </c>
      <c r="F428" s="10" t="s">
        <v>10</v>
      </c>
      <c r="G428" s="9" t="s">
        <v>11</v>
      </c>
    </row>
    <row r="429" spans="1:7" ht="12.75">
      <c r="A429" s="62" t="s">
        <v>661</v>
      </c>
      <c r="B429" s="63"/>
      <c r="C429" s="9">
        <v>1984</v>
      </c>
      <c r="D429" s="9" t="s">
        <v>32</v>
      </c>
      <c r="E429" s="10" t="s">
        <v>9</v>
      </c>
      <c r="F429" s="10" t="s">
        <v>10</v>
      </c>
      <c r="G429" s="9" t="s">
        <v>11</v>
      </c>
    </row>
    <row r="430" spans="1:7" ht="12.75">
      <c r="A430" s="62" t="s">
        <v>662</v>
      </c>
      <c r="B430" s="63"/>
      <c r="C430" s="9">
        <v>1988</v>
      </c>
      <c r="D430" s="9" t="s">
        <v>177</v>
      </c>
      <c r="E430" s="10" t="s">
        <v>43</v>
      </c>
      <c r="F430" s="10" t="s">
        <v>10</v>
      </c>
      <c r="G430" s="9" t="s">
        <v>11</v>
      </c>
    </row>
    <row r="431" spans="1:7" ht="12.75">
      <c r="A431" s="62" t="s">
        <v>663</v>
      </c>
      <c r="B431" s="63"/>
      <c r="C431" s="9">
        <v>1984</v>
      </c>
      <c r="D431" s="9" t="s">
        <v>128</v>
      </c>
      <c r="E431" s="10" t="s">
        <v>9</v>
      </c>
      <c r="F431" s="10" t="s">
        <v>10</v>
      </c>
      <c r="G431" s="9" t="s">
        <v>11</v>
      </c>
    </row>
    <row r="432" spans="1:7" ht="12.75">
      <c r="A432" s="73" t="s">
        <v>664</v>
      </c>
      <c r="B432" s="74"/>
      <c r="C432" s="9">
        <v>1985</v>
      </c>
      <c r="D432" s="9" t="s">
        <v>128</v>
      </c>
      <c r="E432" s="10" t="s">
        <v>9</v>
      </c>
      <c r="F432" s="10" t="s">
        <v>10</v>
      </c>
      <c r="G432" s="9" t="s">
        <v>11</v>
      </c>
    </row>
    <row r="433" spans="1:7" ht="12.75">
      <c r="A433" s="33" t="s">
        <v>665</v>
      </c>
      <c r="B433" s="61"/>
      <c r="C433" s="13">
        <v>1987</v>
      </c>
      <c r="D433" s="13" t="s">
        <v>666</v>
      </c>
      <c r="E433" s="14" t="s">
        <v>667</v>
      </c>
      <c r="F433" s="14" t="s">
        <v>10</v>
      </c>
      <c r="G433" s="13" t="s">
        <v>18</v>
      </c>
    </row>
    <row r="434" spans="1:7" ht="12.75">
      <c r="A434" s="62" t="s">
        <v>668</v>
      </c>
      <c r="B434" s="63"/>
      <c r="C434" s="9">
        <v>1986</v>
      </c>
      <c r="D434" s="9" t="s">
        <v>669</v>
      </c>
      <c r="E434" s="10" t="s">
        <v>24</v>
      </c>
      <c r="F434" s="10" t="s">
        <v>10</v>
      </c>
      <c r="G434" s="9" t="s">
        <v>11</v>
      </c>
    </row>
    <row r="435" spans="1:7" ht="12.75">
      <c r="A435" s="51" t="s">
        <v>670</v>
      </c>
      <c r="B435" s="52"/>
      <c r="C435" s="53">
        <v>1986</v>
      </c>
      <c r="D435" s="53" t="s">
        <v>102</v>
      </c>
      <c r="E435" s="54" t="s">
        <v>102</v>
      </c>
      <c r="F435" s="54" t="s">
        <v>102</v>
      </c>
      <c r="G435" s="53" t="s">
        <v>102</v>
      </c>
    </row>
    <row r="436" spans="1:7" ht="12.75">
      <c r="A436" s="33" t="s">
        <v>671</v>
      </c>
      <c r="B436" s="61"/>
      <c r="C436" s="13">
        <v>1986</v>
      </c>
      <c r="D436" s="13" t="s">
        <v>579</v>
      </c>
      <c r="E436" s="14" t="s">
        <v>24</v>
      </c>
      <c r="F436" s="14" t="s">
        <v>10</v>
      </c>
      <c r="G436" s="13" t="s">
        <v>18</v>
      </c>
    </row>
    <row r="437" spans="1:7" ht="12.75">
      <c r="A437" s="34" t="s">
        <v>672</v>
      </c>
      <c r="B437" s="58"/>
      <c r="C437" s="13">
        <v>1985</v>
      </c>
      <c r="D437" s="13" t="s">
        <v>227</v>
      </c>
      <c r="E437" s="14" t="s">
        <v>307</v>
      </c>
      <c r="F437" s="14" t="s">
        <v>21</v>
      </c>
      <c r="G437" s="13" t="s">
        <v>18</v>
      </c>
    </row>
    <row r="438" spans="1:7" ht="12.75">
      <c r="A438" s="62" t="s">
        <v>673</v>
      </c>
      <c r="B438" s="63"/>
      <c r="C438" s="9">
        <v>1985</v>
      </c>
      <c r="D438" s="9" t="s">
        <v>167</v>
      </c>
      <c r="E438" s="10" t="s">
        <v>207</v>
      </c>
      <c r="F438" s="10" t="s">
        <v>10</v>
      </c>
      <c r="G438" s="9" t="s">
        <v>11</v>
      </c>
    </row>
    <row r="439" spans="1:7" ht="12.75">
      <c r="A439" s="62" t="s">
        <v>674</v>
      </c>
      <c r="B439" s="63"/>
      <c r="C439" s="9">
        <v>1987</v>
      </c>
      <c r="D439" s="9" t="s">
        <v>73</v>
      </c>
      <c r="E439" s="10" t="s">
        <v>55</v>
      </c>
      <c r="F439" s="10" t="s">
        <v>10</v>
      </c>
      <c r="G439" s="9" t="s">
        <v>11</v>
      </c>
    </row>
    <row r="440" spans="1:7" ht="12.75">
      <c r="A440" s="33" t="s">
        <v>675</v>
      </c>
      <c r="B440" s="61"/>
      <c r="C440" s="13">
        <v>1986</v>
      </c>
      <c r="D440" s="13" t="s">
        <v>243</v>
      </c>
      <c r="E440" s="14" t="s">
        <v>275</v>
      </c>
      <c r="F440" s="14" t="s">
        <v>10</v>
      </c>
      <c r="G440" s="13" t="s">
        <v>18</v>
      </c>
    </row>
    <row r="441" spans="1:7" ht="12.75">
      <c r="A441" s="62" t="s">
        <v>676</v>
      </c>
      <c r="B441" s="63"/>
      <c r="C441" s="9">
        <v>1983</v>
      </c>
      <c r="D441" s="9" t="s">
        <v>317</v>
      </c>
      <c r="E441" s="10" t="s">
        <v>275</v>
      </c>
      <c r="F441" s="10" t="s">
        <v>10</v>
      </c>
      <c r="G441" s="9" t="s">
        <v>11</v>
      </c>
    </row>
    <row r="442" spans="1:7" ht="12.75">
      <c r="A442" s="33" t="s">
        <v>677</v>
      </c>
      <c r="B442" s="61"/>
      <c r="C442" s="13">
        <v>1984</v>
      </c>
      <c r="D442" s="13" t="s">
        <v>151</v>
      </c>
      <c r="E442" s="14" t="s">
        <v>9</v>
      </c>
      <c r="F442" s="14" t="s">
        <v>21</v>
      </c>
      <c r="G442" s="13" t="s">
        <v>18</v>
      </c>
    </row>
    <row r="443" spans="1:7" ht="12.75">
      <c r="A443" s="34" t="s">
        <v>678</v>
      </c>
      <c r="B443" s="58"/>
      <c r="C443" s="13">
        <v>1984</v>
      </c>
      <c r="D443" s="13" t="s">
        <v>679</v>
      </c>
      <c r="E443" s="14" t="s">
        <v>9</v>
      </c>
      <c r="F443" s="14" t="s">
        <v>21</v>
      </c>
      <c r="G443" s="13" t="s">
        <v>18</v>
      </c>
    </row>
    <row r="444" spans="1:7" ht="12.75">
      <c r="A444" s="62" t="s">
        <v>680</v>
      </c>
      <c r="B444" s="63"/>
      <c r="C444" s="9">
        <v>1988</v>
      </c>
      <c r="D444" s="9" t="s">
        <v>378</v>
      </c>
      <c r="E444" s="10" t="s">
        <v>9</v>
      </c>
      <c r="F444" s="10" t="s">
        <v>21</v>
      </c>
      <c r="G444" s="9" t="s">
        <v>11</v>
      </c>
    </row>
    <row r="445" spans="1:7" ht="12.75">
      <c r="A445" s="62" t="s">
        <v>681</v>
      </c>
      <c r="B445" s="63"/>
      <c r="C445" s="9">
        <v>1989</v>
      </c>
      <c r="D445" s="9" t="s">
        <v>378</v>
      </c>
      <c r="E445" s="10" t="s">
        <v>9</v>
      </c>
      <c r="F445" s="10" t="s">
        <v>10</v>
      </c>
      <c r="G445" s="9" t="s">
        <v>11</v>
      </c>
    </row>
    <row r="446" spans="1:7" ht="12.75">
      <c r="A446" s="38" t="s">
        <v>682</v>
      </c>
      <c r="B446" s="39"/>
      <c r="C446" s="9" t="s">
        <v>102</v>
      </c>
      <c r="D446" s="9" t="s">
        <v>683</v>
      </c>
      <c r="E446" s="10" t="s">
        <v>307</v>
      </c>
      <c r="F446" s="10" t="s">
        <v>102</v>
      </c>
      <c r="G446" s="9" t="s">
        <v>11</v>
      </c>
    </row>
    <row r="447" spans="1:7" ht="12.75">
      <c r="A447" s="33" t="s">
        <v>684</v>
      </c>
      <c r="B447" s="61"/>
      <c r="C447" s="13">
        <v>1989</v>
      </c>
      <c r="D447" s="13" t="s">
        <v>685</v>
      </c>
      <c r="E447" s="14" t="s">
        <v>110</v>
      </c>
      <c r="F447" s="14" t="s">
        <v>48</v>
      </c>
      <c r="G447" s="13" t="s">
        <v>18</v>
      </c>
    </row>
    <row r="448" spans="1:7" ht="12.75">
      <c r="A448" s="62" t="s">
        <v>686</v>
      </c>
      <c r="B448" s="63"/>
      <c r="C448" s="9">
        <v>1987</v>
      </c>
      <c r="D448" s="9" t="s">
        <v>135</v>
      </c>
      <c r="E448" s="10" t="s">
        <v>55</v>
      </c>
      <c r="F448" s="10" t="s">
        <v>10</v>
      </c>
      <c r="G448" s="9" t="s">
        <v>11</v>
      </c>
    </row>
    <row r="449" spans="1:7" ht="12.75">
      <c r="A449" s="62" t="s">
        <v>687</v>
      </c>
      <c r="B449" s="63"/>
      <c r="C449" s="9">
        <v>1986</v>
      </c>
      <c r="D449" s="9" t="s">
        <v>302</v>
      </c>
      <c r="E449" s="10" t="s">
        <v>55</v>
      </c>
      <c r="F449" s="10" t="s">
        <v>10</v>
      </c>
      <c r="G449" s="9" t="s">
        <v>11</v>
      </c>
    </row>
    <row r="450" spans="1:7" ht="12.75">
      <c r="A450" s="33" t="s">
        <v>688</v>
      </c>
      <c r="B450" s="61"/>
      <c r="C450" s="13">
        <v>1983</v>
      </c>
      <c r="D450" s="13" t="s">
        <v>215</v>
      </c>
      <c r="E450" s="14" t="s">
        <v>24</v>
      </c>
      <c r="F450" s="14" t="s">
        <v>21</v>
      </c>
      <c r="G450" s="13" t="s">
        <v>18</v>
      </c>
    </row>
    <row r="451" spans="1:7" ht="12.75">
      <c r="A451" s="62" t="s">
        <v>689</v>
      </c>
      <c r="B451" s="63"/>
      <c r="C451" s="9">
        <v>1987</v>
      </c>
      <c r="D451" s="9" t="s">
        <v>690</v>
      </c>
      <c r="E451" s="10" t="s">
        <v>9</v>
      </c>
      <c r="F451" s="10" t="s">
        <v>10</v>
      </c>
      <c r="G451" s="9" t="s">
        <v>11</v>
      </c>
    </row>
    <row r="452" spans="1:7" ht="12.75">
      <c r="A452" s="59" t="s">
        <v>691</v>
      </c>
      <c r="B452" s="60"/>
      <c r="C452" s="9">
        <v>1986</v>
      </c>
      <c r="D452" s="9" t="s">
        <v>151</v>
      </c>
      <c r="E452" s="10" t="s">
        <v>291</v>
      </c>
      <c r="F452" s="10" t="s">
        <v>52</v>
      </c>
      <c r="G452" s="9" t="s">
        <v>11</v>
      </c>
    </row>
    <row r="453" spans="1:7" ht="12.75">
      <c r="A453" s="59" t="s">
        <v>692</v>
      </c>
      <c r="B453" s="60"/>
      <c r="C453" s="9">
        <v>1988</v>
      </c>
      <c r="D453" s="9" t="s">
        <v>693</v>
      </c>
      <c r="E453" s="10" t="s">
        <v>291</v>
      </c>
      <c r="F453" s="10" t="s">
        <v>52</v>
      </c>
      <c r="G453" s="9" t="s">
        <v>11</v>
      </c>
    </row>
    <row r="454" spans="1:7" ht="12.75">
      <c r="A454" s="34" t="s">
        <v>694</v>
      </c>
      <c r="B454" s="58"/>
      <c r="C454" s="13">
        <v>1985</v>
      </c>
      <c r="D454" s="13" t="s">
        <v>125</v>
      </c>
      <c r="E454" s="14" t="s">
        <v>291</v>
      </c>
      <c r="F454" s="14" t="s">
        <v>27</v>
      </c>
      <c r="G454" s="13" t="s">
        <v>18</v>
      </c>
    </row>
    <row r="455" spans="1:7" ht="12.75">
      <c r="A455" s="34" t="s">
        <v>695</v>
      </c>
      <c r="B455" s="58"/>
      <c r="C455" s="13">
        <v>1987</v>
      </c>
      <c r="D455" s="13" t="s">
        <v>696</v>
      </c>
      <c r="E455" s="14" t="s">
        <v>291</v>
      </c>
      <c r="F455" s="14" t="s">
        <v>52</v>
      </c>
      <c r="G455" s="13" t="s">
        <v>18</v>
      </c>
    </row>
    <row r="456" spans="1:7" ht="12.75">
      <c r="A456" s="34" t="s">
        <v>697</v>
      </c>
      <c r="B456" s="58"/>
      <c r="C456" s="13">
        <v>1987</v>
      </c>
      <c r="D456" s="13" t="s">
        <v>696</v>
      </c>
      <c r="E456" s="14" t="s">
        <v>291</v>
      </c>
      <c r="F456" s="14" t="s">
        <v>52</v>
      </c>
      <c r="G456" s="13" t="s">
        <v>18</v>
      </c>
    </row>
    <row r="457" spans="1:7" ht="12.75">
      <c r="A457" s="34" t="s">
        <v>698</v>
      </c>
      <c r="B457" s="58"/>
      <c r="C457" s="13">
        <v>1988</v>
      </c>
      <c r="D457" s="13" t="s">
        <v>696</v>
      </c>
      <c r="E457" s="14" t="s">
        <v>291</v>
      </c>
      <c r="F457" s="14" t="s">
        <v>52</v>
      </c>
      <c r="G457" s="13" t="s">
        <v>18</v>
      </c>
    </row>
    <row r="458" spans="1:7" ht="12.75">
      <c r="A458" s="34" t="s">
        <v>699</v>
      </c>
      <c r="B458" s="58"/>
      <c r="C458" s="13">
        <v>1987</v>
      </c>
      <c r="D458" s="13" t="s">
        <v>700</v>
      </c>
      <c r="E458" s="14" t="s">
        <v>24</v>
      </c>
      <c r="F458" s="14" t="s">
        <v>21</v>
      </c>
      <c r="G458" s="13" t="s">
        <v>18</v>
      </c>
    </row>
    <row r="459" spans="1:7" ht="12.75">
      <c r="A459" s="62" t="s">
        <v>701</v>
      </c>
      <c r="B459" s="63"/>
      <c r="C459" s="9">
        <v>1985</v>
      </c>
      <c r="D459" s="9" t="s">
        <v>258</v>
      </c>
      <c r="E459" s="10" t="s">
        <v>207</v>
      </c>
      <c r="F459" s="10" t="s">
        <v>48</v>
      </c>
      <c r="G459" s="9" t="s">
        <v>11</v>
      </c>
    </row>
    <row r="460" spans="1:7" ht="12.75">
      <c r="A460" s="62" t="s">
        <v>702</v>
      </c>
      <c r="B460" s="63"/>
      <c r="C460" s="9">
        <v>1989</v>
      </c>
      <c r="D460" s="9" t="s">
        <v>113</v>
      </c>
      <c r="E460" s="10" t="s">
        <v>17</v>
      </c>
      <c r="F460" s="10" t="s">
        <v>10</v>
      </c>
      <c r="G460" s="9" t="s">
        <v>11</v>
      </c>
    </row>
    <row r="461" spans="1:7" ht="12.75">
      <c r="A461" s="38" t="s">
        <v>703</v>
      </c>
      <c r="B461" s="39"/>
      <c r="C461" s="9" t="s">
        <v>102</v>
      </c>
      <c r="D461" s="9" t="s">
        <v>102</v>
      </c>
      <c r="E461" s="10" t="s">
        <v>9</v>
      </c>
      <c r="F461" s="10" t="s">
        <v>102</v>
      </c>
      <c r="G461" s="9" t="s">
        <v>11</v>
      </c>
    </row>
    <row r="462" spans="1:7" ht="12.75">
      <c r="A462" s="107" t="s">
        <v>704</v>
      </c>
      <c r="B462" s="108"/>
      <c r="C462" s="13">
        <v>1984</v>
      </c>
      <c r="D462" s="13" t="s">
        <v>26</v>
      </c>
      <c r="E462" s="14" t="s">
        <v>9</v>
      </c>
      <c r="F462" s="14" t="s">
        <v>10</v>
      </c>
      <c r="G462" s="13" t="s">
        <v>18</v>
      </c>
    </row>
    <row r="463" spans="1:7" ht="12.75">
      <c r="A463" s="93" t="s">
        <v>705</v>
      </c>
      <c r="B463" s="94"/>
      <c r="C463" s="9">
        <v>2006</v>
      </c>
      <c r="D463" s="9" t="s">
        <v>456</v>
      </c>
      <c r="E463" s="10" t="s">
        <v>9</v>
      </c>
      <c r="F463" s="10" t="s">
        <v>21</v>
      </c>
      <c r="G463" s="9" t="s">
        <v>11</v>
      </c>
    </row>
    <row r="464" spans="1:7" ht="12.75">
      <c r="A464" s="62" t="s">
        <v>706</v>
      </c>
      <c r="B464" s="63"/>
      <c r="C464" s="9">
        <v>1987</v>
      </c>
      <c r="D464" s="9" t="s">
        <v>707</v>
      </c>
      <c r="E464" s="10" t="s">
        <v>24</v>
      </c>
      <c r="F464" s="10" t="s">
        <v>102</v>
      </c>
      <c r="G464" s="9" t="s">
        <v>11</v>
      </c>
    </row>
    <row r="465" spans="1:7" ht="12.75">
      <c r="A465" s="62" t="s">
        <v>708</v>
      </c>
      <c r="B465" s="63"/>
      <c r="C465" s="9">
        <v>1987</v>
      </c>
      <c r="D465" s="9" t="s">
        <v>466</v>
      </c>
      <c r="E465" s="10" t="s">
        <v>9</v>
      </c>
      <c r="F465" s="10" t="s">
        <v>10</v>
      </c>
      <c r="G465" s="9" t="s">
        <v>11</v>
      </c>
    </row>
    <row r="466" spans="1:7" ht="12.75">
      <c r="A466" s="36" t="s">
        <v>709</v>
      </c>
      <c r="B466" s="64"/>
      <c r="C466" s="13">
        <v>1989</v>
      </c>
      <c r="D466" s="13" t="s">
        <v>710</v>
      </c>
      <c r="E466" s="14" t="s">
        <v>307</v>
      </c>
      <c r="F466" s="14" t="s">
        <v>102</v>
      </c>
      <c r="G466" s="13" t="s">
        <v>18</v>
      </c>
    </row>
    <row r="467" spans="1:7" ht="12.75">
      <c r="A467" s="34" t="s">
        <v>711</v>
      </c>
      <c r="B467" s="58"/>
      <c r="C467" s="13">
        <v>2004</v>
      </c>
      <c r="D467" s="13" t="s">
        <v>503</v>
      </c>
      <c r="E467" s="14" t="s">
        <v>24</v>
      </c>
      <c r="F467" s="14" t="s">
        <v>21</v>
      </c>
      <c r="G467" s="13" t="s">
        <v>18</v>
      </c>
    </row>
    <row r="468" spans="1:7" ht="12.75">
      <c r="A468" s="38" t="s">
        <v>712</v>
      </c>
      <c r="B468" s="39"/>
      <c r="C468" s="9">
        <v>1986</v>
      </c>
      <c r="D468" s="9" t="s">
        <v>713</v>
      </c>
      <c r="E468" s="10" t="s">
        <v>9</v>
      </c>
      <c r="F468" s="10" t="s">
        <v>102</v>
      </c>
      <c r="G468" s="9" t="s">
        <v>11</v>
      </c>
    </row>
    <row r="469" spans="1:7" ht="12.75">
      <c r="A469" s="109" t="s">
        <v>714</v>
      </c>
      <c r="B469" s="110"/>
      <c r="C469" s="53">
        <v>1989</v>
      </c>
      <c r="D469" s="53" t="s">
        <v>23</v>
      </c>
      <c r="E469" s="54" t="s">
        <v>24</v>
      </c>
      <c r="F469" s="54" t="s">
        <v>52</v>
      </c>
      <c r="G469" s="53" t="s">
        <v>361</v>
      </c>
    </row>
    <row r="470" spans="1:7" ht="12.75">
      <c r="A470" s="59" t="s">
        <v>715</v>
      </c>
      <c r="B470" s="60"/>
      <c r="C470" s="9">
        <v>1986</v>
      </c>
      <c r="D470" s="9" t="s">
        <v>23</v>
      </c>
      <c r="E470" s="10" t="s">
        <v>291</v>
      </c>
      <c r="F470" s="10" t="s">
        <v>21</v>
      </c>
      <c r="G470" s="9" t="s">
        <v>11</v>
      </c>
    </row>
    <row r="471" spans="1:7" ht="12.75">
      <c r="A471" s="62" t="s">
        <v>716</v>
      </c>
      <c r="B471" s="63"/>
      <c r="C471" s="9">
        <v>1987</v>
      </c>
      <c r="D471" s="9" t="s">
        <v>717</v>
      </c>
      <c r="E471" s="10" t="s">
        <v>55</v>
      </c>
      <c r="F471" s="10" t="s">
        <v>48</v>
      </c>
      <c r="G471" s="9" t="s">
        <v>11</v>
      </c>
    </row>
    <row r="472" spans="1:7" ht="12.75">
      <c r="A472" s="33" t="s">
        <v>718</v>
      </c>
      <c r="B472" s="61"/>
      <c r="C472" s="13">
        <v>1986</v>
      </c>
      <c r="D472" s="13" t="s">
        <v>215</v>
      </c>
      <c r="E472" s="14" t="s">
        <v>17</v>
      </c>
      <c r="F472" s="14" t="s">
        <v>21</v>
      </c>
      <c r="G472" s="13" t="s">
        <v>18</v>
      </c>
    </row>
    <row r="473" spans="1:7" ht="12.75">
      <c r="A473" s="33" t="s">
        <v>719</v>
      </c>
      <c r="B473" s="61"/>
      <c r="C473" s="13">
        <v>1986</v>
      </c>
      <c r="D473" s="13" t="s">
        <v>73</v>
      </c>
      <c r="E473" s="14" t="s">
        <v>110</v>
      </c>
      <c r="F473" s="14" t="s">
        <v>10</v>
      </c>
      <c r="G473" s="13" t="s">
        <v>18</v>
      </c>
    </row>
    <row r="474" spans="1:7" ht="12.75">
      <c r="A474" s="34" t="s">
        <v>720</v>
      </c>
      <c r="B474" s="58"/>
      <c r="C474" s="13">
        <v>1988</v>
      </c>
      <c r="D474" s="13" t="s">
        <v>721</v>
      </c>
      <c r="E474" s="14" t="s">
        <v>17</v>
      </c>
      <c r="F474" s="14" t="s">
        <v>52</v>
      </c>
      <c r="G474" s="13" t="s">
        <v>18</v>
      </c>
    </row>
    <row r="475" spans="1:7" ht="12.75">
      <c r="A475" s="33" t="s">
        <v>722</v>
      </c>
      <c r="B475" s="61"/>
      <c r="C475" s="13">
        <v>1986</v>
      </c>
      <c r="D475" s="13" t="s">
        <v>42</v>
      </c>
      <c r="E475" s="14" t="s">
        <v>51</v>
      </c>
      <c r="F475" s="14" t="s">
        <v>10</v>
      </c>
      <c r="G475" s="13" t="s">
        <v>18</v>
      </c>
    </row>
    <row r="476" spans="1:7" ht="12.75">
      <c r="A476" s="34" t="s">
        <v>723</v>
      </c>
      <c r="B476" s="58"/>
      <c r="C476" s="13">
        <v>1983</v>
      </c>
      <c r="D476" s="13" t="s">
        <v>724</v>
      </c>
      <c r="E476" s="14" t="s">
        <v>24</v>
      </c>
      <c r="F476" s="14" t="s">
        <v>21</v>
      </c>
      <c r="G476" s="13" t="s">
        <v>18</v>
      </c>
    </row>
    <row r="477" spans="1:7" ht="12.75">
      <c r="A477" s="62" t="s">
        <v>725</v>
      </c>
      <c r="B477" s="63"/>
      <c r="C477" s="9">
        <v>1987</v>
      </c>
      <c r="D477" s="9" t="s">
        <v>154</v>
      </c>
      <c r="E477" s="10" t="s">
        <v>24</v>
      </c>
      <c r="F477" s="10" t="s">
        <v>10</v>
      </c>
      <c r="G477" s="9" t="s">
        <v>11</v>
      </c>
    </row>
    <row r="478" spans="1:7" ht="12.75">
      <c r="A478" s="36" t="s">
        <v>726</v>
      </c>
      <c r="B478" s="64"/>
      <c r="C478" s="13">
        <v>1988</v>
      </c>
      <c r="D478" s="13" t="s">
        <v>177</v>
      </c>
      <c r="E478" s="14" t="s">
        <v>43</v>
      </c>
      <c r="F478" s="14" t="s">
        <v>10</v>
      </c>
      <c r="G478" s="13" t="s">
        <v>18</v>
      </c>
    </row>
    <row r="479" spans="1:7" ht="12.75">
      <c r="A479" s="62" t="s">
        <v>727</v>
      </c>
      <c r="B479" s="63"/>
      <c r="C479" s="9">
        <v>1985</v>
      </c>
      <c r="D479" s="9" t="s">
        <v>239</v>
      </c>
      <c r="E479" s="10" t="s">
        <v>24</v>
      </c>
      <c r="F479" s="10" t="s">
        <v>21</v>
      </c>
      <c r="G479" s="9" t="s">
        <v>11</v>
      </c>
    </row>
    <row r="480" spans="1:7" ht="12.75">
      <c r="A480" s="38" t="s">
        <v>728</v>
      </c>
      <c r="B480" s="39"/>
      <c r="C480" s="9">
        <v>1988</v>
      </c>
      <c r="D480" s="9" t="s">
        <v>729</v>
      </c>
      <c r="E480" s="10" t="s">
        <v>9</v>
      </c>
      <c r="F480" s="10" t="s">
        <v>102</v>
      </c>
      <c r="G480" s="9" t="s">
        <v>11</v>
      </c>
    </row>
    <row r="481" spans="1:7" ht="12.75">
      <c r="A481" s="34" t="s">
        <v>730</v>
      </c>
      <c r="B481" s="58"/>
      <c r="C481" s="13">
        <v>2004</v>
      </c>
      <c r="D481" s="13" t="s">
        <v>731</v>
      </c>
      <c r="E481" s="14" t="s">
        <v>307</v>
      </c>
      <c r="F481" s="14" t="s">
        <v>21</v>
      </c>
      <c r="G481" s="13" t="s">
        <v>18</v>
      </c>
    </row>
    <row r="482" spans="1:7" ht="12.75">
      <c r="A482" s="33" t="s">
        <v>732</v>
      </c>
      <c r="B482" s="61"/>
      <c r="C482" s="13">
        <v>1986</v>
      </c>
      <c r="D482" s="13" t="s">
        <v>66</v>
      </c>
      <c r="E482" s="14" t="s">
        <v>275</v>
      </c>
      <c r="F482" s="14" t="s">
        <v>10</v>
      </c>
      <c r="G482" s="13" t="s">
        <v>18</v>
      </c>
    </row>
    <row r="483" spans="1:7" ht="12.75">
      <c r="A483" s="62" t="s">
        <v>733</v>
      </c>
      <c r="B483" s="63"/>
      <c r="C483" s="9">
        <v>1985</v>
      </c>
      <c r="D483" s="9" t="s">
        <v>39</v>
      </c>
      <c r="E483" s="10" t="s">
        <v>17</v>
      </c>
      <c r="F483" s="10" t="s">
        <v>10</v>
      </c>
      <c r="G483" s="9" t="s">
        <v>11</v>
      </c>
    </row>
    <row r="484" spans="1:7" ht="12.75">
      <c r="A484" s="33" t="s">
        <v>734</v>
      </c>
      <c r="B484" s="61"/>
      <c r="C484" s="13">
        <v>1985</v>
      </c>
      <c r="D484" s="13" t="s">
        <v>215</v>
      </c>
      <c r="E484" s="14" t="s">
        <v>307</v>
      </c>
      <c r="F484" s="14" t="s">
        <v>21</v>
      </c>
      <c r="G484" s="13" t="s">
        <v>18</v>
      </c>
    </row>
    <row r="485" spans="1:7" ht="12.75">
      <c r="A485" s="33" t="s">
        <v>735</v>
      </c>
      <c r="B485" s="61"/>
      <c r="C485" s="13">
        <v>1986</v>
      </c>
      <c r="D485" s="13" t="s">
        <v>215</v>
      </c>
      <c r="E485" s="14" t="s">
        <v>307</v>
      </c>
      <c r="F485" s="14" t="s">
        <v>52</v>
      </c>
      <c r="G485" s="13" t="s">
        <v>18</v>
      </c>
    </row>
    <row r="486" spans="1:7" ht="12.75">
      <c r="A486" s="33" t="s">
        <v>736</v>
      </c>
      <c r="B486" s="61"/>
      <c r="C486" s="13">
        <v>1985</v>
      </c>
      <c r="D486" s="13" t="s">
        <v>156</v>
      </c>
      <c r="E486" s="14" t="s">
        <v>9</v>
      </c>
      <c r="F486" s="14" t="s">
        <v>10</v>
      </c>
      <c r="G486" s="13" t="s">
        <v>18</v>
      </c>
    </row>
    <row r="487" spans="1:7" ht="12.75">
      <c r="A487" s="62" t="s">
        <v>737</v>
      </c>
      <c r="B487" s="63"/>
      <c r="C487" s="9">
        <v>1985</v>
      </c>
      <c r="D487" s="9" t="s">
        <v>268</v>
      </c>
      <c r="E487" s="10" t="s">
        <v>207</v>
      </c>
      <c r="F487" s="10" t="s">
        <v>21</v>
      </c>
      <c r="G487" s="9" t="s">
        <v>11</v>
      </c>
    </row>
    <row r="488" spans="1:7" ht="12.75">
      <c r="A488" s="62" t="s">
        <v>738</v>
      </c>
      <c r="B488" s="63"/>
      <c r="C488" s="9">
        <v>1985</v>
      </c>
      <c r="D488" s="9" t="s">
        <v>319</v>
      </c>
      <c r="E488" s="10" t="s">
        <v>55</v>
      </c>
      <c r="F488" s="10" t="s">
        <v>10</v>
      </c>
      <c r="G488" s="9" t="s">
        <v>11</v>
      </c>
    </row>
    <row r="489" spans="1:7" ht="12.75">
      <c r="A489" s="62" t="s">
        <v>739</v>
      </c>
      <c r="B489" s="63"/>
      <c r="C489" s="9">
        <v>1987</v>
      </c>
      <c r="D489" s="9" t="s">
        <v>378</v>
      </c>
      <c r="E489" s="10" t="s">
        <v>55</v>
      </c>
      <c r="F489" s="10" t="s">
        <v>10</v>
      </c>
      <c r="G489" s="9" t="s">
        <v>11</v>
      </c>
    </row>
    <row r="490" spans="1:7" ht="12.75">
      <c r="A490" s="62" t="s">
        <v>740</v>
      </c>
      <c r="B490" s="63"/>
      <c r="C490" s="9">
        <v>1984</v>
      </c>
      <c r="D490" s="9" t="s">
        <v>167</v>
      </c>
      <c r="E490" s="10" t="s">
        <v>43</v>
      </c>
      <c r="F490" s="10" t="s">
        <v>10</v>
      </c>
      <c r="G490" s="9" t="s">
        <v>11</v>
      </c>
    </row>
    <row r="491" spans="1:7" ht="12.75">
      <c r="A491" s="38" t="s">
        <v>741</v>
      </c>
      <c r="B491" s="39"/>
      <c r="C491" s="9">
        <v>1985</v>
      </c>
      <c r="D491" s="9" t="s">
        <v>742</v>
      </c>
      <c r="E491" s="10" t="s">
        <v>67</v>
      </c>
      <c r="F491" s="10" t="s">
        <v>102</v>
      </c>
      <c r="G491" s="9" t="s">
        <v>11</v>
      </c>
    </row>
    <row r="492" spans="1:7" ht="12.75">
      <c r="A492" s="33" t="s">
        <v>743</v>
      </c>
      <c r="B492" s="61"/>
      <c r="C492" s="13">
        <v>1986</v>
      </c>
      <c r="D492" s="13" t="s">
        <v>115</v>
      </c>
      <c r="E492" s="14" t="s">
        <v>67</v>
      </c>
      <c r="F492" s="14" t="s">
        <v>10</v>
      </c>
      <c r="G492" s="13" t="s">
        <v>18</v>
      </c>
    </row>
    <row r="493" spans="1:7" ht="12.75">
      <c r="A493" s="33" t="s">
        <v>744</v>
      </c>
      <c r="B493" s="61"/>
      <c r="C493" s="13">
        <v>1987</v>
      </c>
      <c r="D493" s="13" t="s">
        <v>96</v>
      </c>
      <c r="E493" s="14" t="s">
        <v>9</v>
      </c>
      <c r="F493" s="14" t="s">
        <v>10</v>
      </c>
      <c r="G493" s="13" t="s">
        <v>18</v>
      </c>
    </row>
    <row r="494" spans="1:7" ht="12.75">
      <c r="A494" s="33" t="s">
        <v>745</v>
      </c>
      <c r="B494" s="61"/>
      <c r="C494" s="13">
        <v>1986</v>
      </c>
      <c r="D494" s="13" t="s">
        <v>115</v>
      </c>
      <c r="E494" s="14" t="s">
        <v>67</v>
      </c>
      <c r="F494" s="14" t="s">
        <v>10</v>
      </c>
      <c r="G494" s="13" t="s">
        <v>18</v>
      </c>
    </row>
    <row r="495" spans="1:7" ht="12.75">
      <c r="A495" s="38" t="s">
        <v>746</v>
      </c>
      <c r="B495" s="39"/>
      <c r="C495" s="9">
        <v>1985</v>
      </c>
      <c r="D495" s="9" t="s">
        <v>747</v>
      </c>
      <c r="E495" s="10" t="s">
        <v>67</v>
      </c>
      <c r="F495" s="10" t="s">
        <v>10</v>
      </c>
      <c r="G495" s="9" t="s">
        <v>11</v>
      </c>
    </row>
    <row r="496" spans="1:7" ht="12.75">
      <c r="A496" s="62" t="s">
        <v>748</v>
      </c>
      <c r="B496" s="63"/>
      <c r="C496" s="9">
        <v>1988</v>
      </c>
      <c r="D496" s="9" t="s">
        <v>113</v>
      </c>
      <c r="E496" s="10" t="s">
        <v>9</v>
      </c>
      <c r="F496" s="10" t="s">
        <v>10</v>
      </c>
      <c r="G496" s="9" t="s">
        <v>11</v>
      </c>
    </row>
    <row r="497" spans="1:7" ht="12.75">
      <c r="A497" s="38" t="s">
        <v>749</v>
      </c>
      <c r="B497" s="39"/>
      <c r="C497" s="9">
        <v>1987</v>
      </c>
      <c r="D497" s="9" t="s">
        <v>390</v>
      </c>
      <c r="E497" s="10" t="s">
        <v>667</v>
      </c>
      <c r="F497" s="10" t="s">
        <v>102</v>
      </c>
      <c r="G497" s="9" t="s">
        <v>11</v>
      </c>
    </row>
    <row r="498" spans="1:7" ht="12.75">
      <c r="A498" s="62" t="s">
        <v>750</v>
      </c>
      <c r="B498" s="63"/>
      <c r="C498" s="9">
        <v>1988</v>
      </c>
      <c r="D498" s="9" t="s">
        <v>96</v>
      </c>
      <c r="E498" s="10" t="s">
        <v>24</v>
      </c>
      <c r="F498" s="10" t="s">
        <v>10</v>
      </c>
      <c r="G498" s="9" t="s">
        <v>11</v>
      </c>
    </row>
    <row r="499" spans="1:7" ht="12.75">
      <c r="A499" s="38" t="s">
        <v>751</v>
      </c>
      <c r="B499" s="39"/>
      <c r="C499" s="9" t="s">
        <v>102</v>
      </c>
      <c r="D499" s="9" t="s">
        <v>102</v>
      </c>
      <c r="E499" s="10" t="s">
        <v>67</v>
      </c>
      <c r="F499" s="10" t="s">
        <v>102</v>
      </c>
      <c r="G499" s="9" t="s">
        <v>11</v>
      </c>
    </row>
    <row r="500" spans="1:7" ht="12.75">
      <c r="A500" s="49" t="s">
        <v>752</v>
      </c>
      <c r="B500" s="57"/>
      <c r="C500" s="13">
        <v>1985</v>
      </c>
      <c r="D500" s="13" t="s">
        <v>169</v>
      </c>
      <c r="E500" s="14" t="s">
        <v>9</v>
      </c>
      <c r="F500" s="14" t="s">
        <v>21</v>
      </c>
      <c r="G500" s="13" t="s">
        <v>18</v>
      </c>
    </row>
    <row r="501" spans="1:7" ht="12.75">
      <c r="A501" s="33" t="s">
        <v>753</v>
      </c>
      <c r="B501" s="61"/>
      <c r="C501" s="13">
        <v>1985</v>
      </c>
      <c r="D501" s="13" t="s">
        <v>258</v>
      </c>
      <c r="E501" s="14" t="s">
        <v>51</v>
      </c>
      <c r="F501" s="14" t="s">
        <v>178</v>
      </c>
      <c r="G501" s="13" t="s">
        <v>18</v>
      </c>
    </row>
    <row r="502" spans="1:7" ht="12.75">
      <c r="A502" s="33" t="s">
        <v>754</v>
      </c>
      <c r="B502" s="61"/>
      <c r="C502" s="13">
        <v>1987</v>
      </c>
      <c r="D502" s="13" t="s">
        <v>755</v>
      </c>
      <c r="E502" s="14" t="s">
        <v>323</v>
      </c>
      <c r="F502" s="14" t="s">
        <v>178</v>
      </c>
      <c r="G502" s="13" t="s">
        <v>18</v>
      </c>
    </row>
    <row r="503" spans="1:7" ht="12.75">
      <c r="A503" s="33" t="s">
        <v>756</v>
      </c>
      <c r="B503" s="61"/>
      <c r="C503" s="13">
        <v>1985</v>
      </c>
      <c r="D503" s="13" t="s">
        <v>757</v>
      </c>
      <c r="E503" s="14" t="s">
        <v>55</v>
      </c>
      <c r="F503" s="14" t="s">
        <v>10</v>
      </c>
      <c r="G503" s="13" t="s">
        <v>18</v>
      </c>
    </row>
    <row r="504" spans="1:7" ht="12.75">
      <c r="A504" s="62" t="s">
        <v>758</v>
      </c>
      <c r="B504" s="63"/>
      <c r="C504" s="9">
        <v>1988</v>
      </c>
      <c r="D504" s="9" t="s">
        <v>113</v>
      </c>
      <c r="E504" s="10" t="s">
        <v>17</v>
      </c>
      <c r="F504" s="10" t="s">
        <v>10</v>
      </c>
      <c r="G504" s="9" t="s">
        <v>11</v>
      </c>
    </row>
    <row r="505" spans="1:7" ht="12.75">
      <c r="A505" s="62" t="s">
        <v>759</v>
      </c>
      <c r="B505" s="63"/>
      <c r="C505" s="9">
        <v>1989</v>
      </c>
      <c r="D505" s="9" t="s">
        <v>243</v>
      </c>
      <c r="E505" s="10" t="s">
        <v>17</v>
      </c>
      <c r="F505" s="10" t="s">
        <v>10</v>
      </c>
      <c r="G505" s="9" t="s">
        <v>11</v>
      </c>
    </row>
    <row r="506" spans="1:7" ht="12.75">
      <c r="A506" s="62" t="s">
        <v>760</v>
      </c>
      <c r="B506" s="63"/>
      <c r="C506" s="9">
        <v>1989</v>
      </c>
      <c r="D506" s="9" t="s">
        <v>96</v>
      </c>
      <c r="E506" s="10" t="s">
        <v>17</v>
      </c>
      <c r="F506" s="10" t="s">
        <v>10</v>
      </c>
      <c r="G506" s="9" t="s">
        <v>11</v>
      </c>
    </row>
    <row r="507" spans="1:7" ht="12.75">
      <c r="A507" s="38" t="s">
        <v>761</v>
      </c>
      <c r="B507" s="39"/>
      <c r="C507" s="9">
        <v>1985</v>
      </c>
      <c r="D507" s="9" t="s">
        <v>98</v>
      </c>
      <c r="E507" s="10" t="s">
        <v>9</v>
      </c>
      <c r="F507" s="10" t="s">
        <v>102</v>
      </c>
      <c r="G507" s="9" t="s">
        <v>11</v>
      </c>
    </row>
    <row r="508" spans="1:7" ht="12.75">
      <c r="A508" s="38" t="s">
        <v>762</v>
      </c>
      <c r="B508" s="39"/>
      <c r="C508" s="9">
        <v>1985</v>
      </c>
      <c r="D508" s="9" t="s">
        <v>763</v>
      </c>
      <c r="E508" s="10" t="s">
        <v>67</v>
      </c>
      <c r="F508" s="10" t="s">
        <v>102</v>
      </c>
      <c r="G508" s="9" t="s">
        <v>11</v>
      </c>
    </row>
    <row r="509" spans="1:7" ht="12.75">
      <c r="A509" s="111" t="s">
        <v>764</v>
      </c>
      <c r="B509" s="74"/>
      <c r="C509" s="75">
        <v>1989</v>
      </c>
      <c r="D509" s="75" t="s">
        <v>91</v>
      </c>
      <c r="E509" s="76" t="s">
        <v>765</v>
      </c>
      <c r="F509" s="76" t="s">
        <v>10</v>
      </c>
      <c r="G509" s="75" t="s">
        <v>18</v>
      </c>
    </row>
    <row r="510" spans="1:7" ht="12.75">
      <c r="A510" s="62" t="s">
        <v>766</v>
      </c>
      <c r="B510" s="63"/>
      <c r="C510" s="9">
        <v>1986</v>
      </c>
      <c r="D510" s="9" t="s">
        <v>767</v>
      </c>
      <c r="E510" s="10" t="s">
        <v>24</v>
      </c>
      <c r="F510" s="10" t="s">
        <v>102</v>
      </c>
      <c r="G510" s="9" t="s">
        <v>11</v>
      </c>
    </row>
    <row r="511" spans="1:7" ht="12.75">
      <c r="A511" s="36" t="s">
        <v>768</v>
      </c>
      <c r="B511" s="64"/>
      <c r="C511" s="13">
        <v>1987</v>
      </c>
      <c r="D511" s="13" t="s">
        <v>769</v>
      </c>
      <c r="E511" s="14" t="s">
        <v>9</v>
      </c>
      <c r="F511" s="14" t="s">
        <v>102</v>
      </c>
      <c r="G511" s="13" t="s">
        <v>18</v>
      </c>
    </row>
    <row r="512" spans="1:7" ht="12.75">
      <c r="A512" s="36" t="s">
        <v>770</v>
      </c>
      <c r="B512" s="64"/>
      <c r="C512" s="13">
        <v>1985</v>
      </c>
      <c r="D512" s="13" t="s">
        <v>26</v>
      </c>
      <c r="E512" s="14" t="s">
        <v>58</v>
      </c>
      <c r="F512" s="14" t="s">
        <v>27</v>
      </c>
      <c r="G512" s="13" t="s">
        <v>18</v>
      </c>
    </row>
    <row r="513" spans="1:7" ht="12.75">
      <c r="A513" s="59" t="s">
        <v>771</v>
      </c>
      <c r="B513" s="60"/>
      <c r="C513" s="9">
        <v>1987</v>
      </c>
      <c r="D513" s="9" t="s">
        <v>772</v>
      </c>
      <c r="E513" s="10" t="s">
        <v>375</v>
      </c>
      <c r="F513" s="10" t="s">
        <v>21</v>
      </c>
      <c r="G513" s="9" t="s">
        <v>11</v>
      </c>
    </row>
    <row r="514" spans="1:7" ht="12.75">
      <c r="A514" s="38" t="s">
        <v>773</v>
      </c>
      <c r="B514" s="39"/>
      <c r="C514" s="9" t="s">
        <v>102</v>
      </c>
      <c r="D514" s="9" t="s">
        <v>102</v>
      </c>
      <c r="E514" s="10" t="s">
        <v>51</v>
      </c>
      <c r="F514" s="10" t="s">
        <v>102</v>
      </c>
      <c r="G514" s="9" t="s">
        <v>11</v>
      </c>
    </row>
    <row r="515" spans="1:7" ht="12.75">
      <c r="A515" s="36" t="s">
        <v>774</v>
      </c>
      <c r="B515" s="64"/>
      <c r="C515" s="13" t="s">
        <v>102</v>
      </c>
      <c r="D515" s="13" t="s">
        <v>775</v>
      </c>
      <c r="E515" s="14" t="s">
        <v>307</v>
      </c>
      <c r="F515" s="14" t="s">
        <v>102</v>
      </c>
      <c r="G515" s="13" t="s">
        <v>18</v>
      </c>
    </row>
    <row r="516" spans="1:7" ht="12.75">
      <c r="A516" s="36" t="s">
        <v>776</v>
      </c>
      <c r="B516" s="64"/>
      <c r="C516" s="13">
        <v>1984</v>
      </c>
      <c r="D516" s="13" t="s">
        <v>777</v>
      </c>
      <c r="E516" s="14" t="s">
        <v>667</v>
      </c>
      <c r="F516" s="14" t="s">
        <v>102</v>
      </c>
      <c r="G516" s="13" t="s">
        <v>18</v>
      </c>
    </row>
    <row r="517" spans="1:7" ht="12.75">
      <c r="A517" s="62" t="s">
        <v>778</v>
      </c>
      <c r="B517" s="63"/>
      <c r="C517" s="9">
        <v>1987</v>
      </c>
      <c r="D517" s="9" t="s">
        <v>195</v>
      </c>
      <c r="E517" s="10" t="s">
        <v>17</v>
      </c>
      <c r="F517" s="10" t="s">
        <v>10</v>
      </c>
      <c r="G517" s="9" t="s">
        <v>11</v>
      </c>
    </row>
    <row r="518" spans="1:7" ht="12.75">
      <c r="A518" s="38" t="s">
        <v>779</v>
      </c>
      <c r="B518" s="39"/>
      <c r="C518" s="9">
        <v>1995</v>
      </c>
      <c r="D518" s="9" t="s">
        <v>780</v>
      </c>
      <c r="E518" s="10" t="s">
        <v>17</v>
      </c>
      <c r="F518" s="10" t="s">
        <v>102</v>
      </c>
      <c r="G518" s="9" t="s">
        <v>11</v>
      </c>
    </row>
    <row r="519" spans="1:7" ht="12.75">
      <c r="A519" s="62" t="s">
        <v>781</v>
      </c>
      <c r="B519" s="63"/>
      <c r="C519" s="9">
        <v>1987</v>
      </c>
      <c r="D519" s="9" t="s">
        <v>707</v>
      </c>
      <c r="E519" s="10" t="s">
        <v>24</v>
      </c>
      <c r="F519" s="10" t="s">
        <v>102</v>
      </c>
      <c r="G519" s="9" t="s">
        <v>11</v>
      </c>
    </row>
    <row r="520" spans="1:7" ht="12.75">
      <c r="A520" s="33" t="s">
        <v>782</v>
      </c>
      <c r="B520" s="61"/>
      <c r="C520" s="13">
        <v>1983</v>
      </c>
      <c r="D520" s="13" t="s">
        <v>23</v>
      </c>
      <c r="E520" s="14" t="s">
        <v>307</v>
      </c>
      <c r="F520" s="14" t="s">
        <v>21</v>
      </c>
      <c r="G520" s="13" t="s">
        <v>18</v>
      </c>
    </row>
    <row r="521" spans="1:7" ht="12.75">
      <c r="A521" s="33" t="s">
        <v>783</v>
      </c>
      <c r="B521" s="61"/>
      <c r="C521" s="13">
        <v>1984</v>
      </c>
      <c r="D521" s="13" t="s">
        <v>496</v>
      </c>
      <c r="E521" s="14" t="s">
        <v>24</v>
      </c>
      <c r="F521" s="14" t="s">
        <v>21</v>
      </c>
      <c r="G521" s="13" t="s">
        <v>18</v>
      </c>
    </row>
    <row r="522" spans="1:7" ht="12.75">
      <c r="A522" s="34" t="s">
        <v>784</v>
      </c>
      <c r="B522" s="58"/>
      <c r="C522" s="13">
        <v>1984</v>
      </c>
      <c r="D522" s="13" t="s">
        <v>496</v>
      </c>
      <c r="E522" s="14" t="s">
        <v>24</v>
      </c>
      <c r="F522" s="14" t="s">
        <v>27</v>
      </c>
      <c r="G522" s="13" t="s">
        <v>18</v>
      </c>
    </row>
    <row r="523" spans="1:7" ht="12.75">
      <c r="A523" s="38" t="s">
        <v>785</v>
      </c>
      <c r="B523" s="39"/>
      <c r="C523" s="9">
        <v>1986</v>
      </c>
      <c r="D523" s="9" t="s">
        <v>769</v>
      </c>
      <c r="E523" s="10" t="s">
        <v>9</v>
      </c>
      <c r="F523" s="10" t="s">
        <v>102</v>
      </c>
      <c r="G523" s="9" t="s">
        <v>11</v>
      </c>
    </row>
    <row r="524" spans="1:7" ht="12.75">
      <c r="A524" s="33" t="s">
        <v>786</v>
      </c>
      <c r="B524" s="61"/>
      <c r="C524" s="13">
        <v>1986</v>
      </c>
      <c r="D524" s="13" t="s">
        <v>239</v>
      </c>
      <c r="E524" s="14" t="s">
        <v>24</v>
      </c>
      <c r="F524" s="14" t="s">
        <v>21</v>
      </c>
      <c r="G524" s="13" t="s">
        <v>18</v>
      </c>
    </row>
    <row r="525" spans="1:7" ht="12.75">
      <c r="A525" s="34" t="s">
        <v>787</v>
      </c>
      <c r="B525" s="58"/>
      <c r="C525" s="13">
        <v>1986</v>
      </c>
      <c r="D525" s="13" t="s">
        <v>239</v>
      </c>
      <c r="E525" s="14" t="s">
        <v>24</v>
      </c>
      <c r="F525" s="14" t="s">
        <v>21</v>
      </c>
      <c r="G525" s="13" t="s">
        <v>18</v>
      </c>
    </row>
    <row r="526" spans="1:7" ht="12.75">
      <c r="A526" s="38" t="s">
        <v>788</v>
      </c>
      <c r="B526" s="39"/>
      <c r="C526" s="9">
        <v>1985</v>
      </c>
      <c r="D526" s="9" t="s">
        <v>789</v>
      </c>
      <c r="E526" s="10" t="s">
        <v>207</v>
      </c>
      <c r="F526" s="10" t="s">
        <v>102</v>
      </c>
      <c r="G526" s="9" t="s">
        <v>11</v>
      </c>
    </row>
    <row r="527" spans="1:7" ht="12.75">
      <c r="A527" s="62" t="s">
        <v>790</v>
      </c>
      <c r="B527" s="63"/>
      <c r="C527" s="9">
        <v>1987</v>
      </c>
      <c r="D527" s="9" t="s">
        <v>481</v>
      </c>
      <c r="E527" s="10" t="s">
        <v>24</v>
      </c>
      <c r="F527" s="10" t="s">
        <v>178</v>
      </c>
      <c r="G527" s="9" t="s">
        <v>11</v>
      </c>
    </row>
    <row r="528" spans="1:7" ht="12.75">
      <c r="A528" s="34" t="s">
        <v>791</v>
      </c>
      <c r="B528" s="58"/>
      <c r="C528" s="13">
        <v>1987</v>
      </c>
      <c r="D528" s="13" t="s">
        <v>62</v>
      </c>
      <c r="E528" s="14" t="s">
        <v>792</v>
      </c>
      <c r="F528" s="14" t="s">
        <v>52</v>
      </c>
      <c r="G528" s="13" t="s">
        <v>18</v>
      </c>
    </row>
    <row r="529" spans="1:7" ht="12.75">
      <c r="A529" s="36" t="s">
        <v>793</v>
      </c>
      <c r="B529" s="64"/>
      <c r="C529" s="13">
        <v>1990</v>
      </c>
      <c r="D529" s="13" t="s">
        <v>794</v>
      </c>
      <c r="E529" s="14" t="s">
        <v>43</v>
      </c>
      <c r="F529" s="112" t="s">
        <v>795</v>
      </c>
      <c r="G529" s="13" t="s">
        <v>18</v>
      </c>
    </row>
    <row r="530" spans="1:7" ht="12.75">
      <c r="A530" s="49" t="s">
        <v>796</v>
      </c>
      <c r="B530" s="57"/>
      <c r="C530" s="13">
        <v>1985</v>
      </c>
      <c r="D530" s="13" t="s">
        <v>797</v>
      </c>
      <c r="E530" s="14" t="s">
        <v>43</v>
      </c>
      <c r="F530" s="14" t="s">
        <v>21</v>
      </c>
      <c r="G530" s="13" t="s">
        <v>18</v>
      </c>
    </row>
    <row r="531" spans="1:7" ht="12.75">
      <c r="A531" s="38" t="s">
        <v>798</v>
      </c>
      <c r="B531" s="39"/>
      <c r="C531" s="9" t="s">
        <v>102</v>
      </c>
      <c r="D531" s="9" t="s">
        <v>102</v>
      </c>
      <c r="E531" s="10" t="s">
        <v>43</v>
      </c>
      <c r="F531" s="10" t="s">
        <v>102</v>
      </c>
      <c r="G531" s="9" t="s">
        <v>11</v>
      </c>
    </row>
    <row r="532" spans="1:7" ht="12.75">
      <c r="A532" s="34" t="s">
        <v>799</v>
      </c>
      <c r="B532" s="58"/>
      <c r="C532" s="13">
        <v>1989</v>
      </c>
      <c r="D532" s="13" t="s">
        <v>800</v>
      </c>
      <c r="E532" s="14" t="s">
        <v>307</v>
      </c>
      <c r="F532" s="14" t="s">
        <v>21</v>
      </c>
      <c r="G532" s="13" t="s">
        <v>18</v>
      </c>
    </row>
    <row r="533" spans="1:7" ht="12.75">
      <c r="A533" s="34" t="s">
        <v>801</v>
      </c>
      <c r="B533" s="58"/>
      <c r="C533" s="13">
        <v>2004</v>
      </c>
      <c r="D533" s="13" t="s">
        <v>503</v>
      </c>
      <c r="E533" s="14" t="s">
        <v>9</v>
      </c>
      <c r="F533" s="14" t="s">
        <v>21</v>
      </c>
      <c r="G533" s="13" t="s">
        <v>18</v>
      </c>
    </row>
    <row r="534" spans="1:7" ht="12.75">
      <c r="A534" s="34" t="s">
        <v>802</v>
      </c>
      <c r="B534" s="58"/>
      <c r="C534" s="13">
        <v>1985</v>
      </c>
      <c r="D534" s="13" t="s">
        <v>803</v>
      </c>
      <c r="E534" s="14" t="s">
        <v>9</v>
      </c>
      <c r="F534" s="14" t="s">
        <v>21</v>
      </c>
      <c r="G534" s="13" t="s">
        <v>18</v>
      </c>
    </row>
    <row r="535" spans="1:7" ht="12.75">
      <c r="A535" s="34" t="s">
        <v>804</v>
      </c>
      <c r="B535" s="58"/>
      <c r="C535" s="13">
        <v>1987</v>
      </c>
      <c r="D535" s="13" t="s">
        <v>144</v>
      </c>
      <c r="E535" s="14" t="s">
        <v>51</v>
      </c>
      <c r="F535" s="14" t="s">
        <v>52</v>
      </c>
      <c r="G535" s="13" t="s">
        <v>18</v>
      </c>
    </row>
    <row r="536" spans="1:7" ht="12.75">
      <c r="A536" s="62" t="s">
        <v>805</v>
      </c>
      <c r="B536" s="63"/>
      <c r="C536" s="9">
        <v>1984</v>
      </c>
      <c r="D536" s="9" t="s">
        <v>402</v>
      </c>
      <c r="E536" s="10" t="s">
        <v>9</v>
      </c>
      <c r="F536" s="10" t="s">
        <v>10</v>
      </c>
      <c r="G536" s="9" t="s">
        <v>11</v>
      </c>
    </row>
    <row r="537" spans="1:7" ht="12.75">
      <c r="A537" s="62" t="s">
        <v>806</v>
      </c>
      <c r="B537" s="63"/>
      <c r="C537" s="9">
        <v>1987</v>
      </c>
      <c r="D537" s="9" t="s">
        <v>807</v>
      </c>
      <c r="E537" s="10" t="s">
        <v>51</v>
      </c>
      <c r="F537" s="10" t="s">
        <v>10</v>
      </c>
      <c r="G537" s="9" t="s">
        <v>11</v>
      </c>
    </row>
    <row r="538" spans="1:7" ht="12.75">
      <c r="A538" s="33" t="s">
        <v>808</v>
      </c>
      <c r="B538" s="61"/>
      <c r="C538" s="13">
        <v>1987</v>
      </c>
      <c r="D538" s="13" t="s">
        <v>107</v>
      </c>
      <c r="E538" s="14" t="s">
        <v>51</v>
      </c>
      <c r="F538" s="14" t="s">
        <v>52</v>
      </c>
      <c r="G538" s="13" t="s">
        <v>18</v>
      </c>
    </row>
    <row r="539" spans="1:7" ht="12.75">
      <c r="A539" s="34" t="s">
        <v>809</v>
      </c>
      <c r="B539" s="58"/>
      <c r="C539" s="13">
        <v>1986</v>
      </c>
      <c r="D539" s="13" t="s">
        <v>128</v>
      </c>
      <c r="E539" s="14" t="s">
        <v>24</v>
      </c>
      <c r="F539" s="14" t="s">
        <v>52</v>
      </c>
      <c r="G539" s="13" t="s">
        <v>18</v>
      </c>
    </row>
    <row r="540" spans="1:7" ht="12.75">
      <c r="A540" s="38" t="s">
        <v>810</v>
      </c>
      <c r="B540" s="39"/>
      <c r="C540" s="9">
        <v>1988</v>
      </c>
      <c r="D540" s="9" t="s">
        <v>811</v>
      </c>
      <c r="E540" s="10" t="s">
        <v>9</v>
      </c>
      <c r="F540" s="10" t="s">
        <v>102</v>
      </c>
      <c r="G540" s="9" t="s">
        <v>11</v>
      </c>
    </row>
    <row r="541" spans="1:7" ht="12.75">
      <c r="A541" s="62" t="s">
        <v>812</v>
      </c>
      <c r="B541" s="63"/>
      <c r="C541" s="9">
        <v>1986</v>
      </c>
      <c r="D541" s="9" t="s">
        <v>115</v>
      </c>
      <c r="E541" s="10" t="s">
        <v>67</v>
      </c>
      <c r="F541" s="10" t="s">
        <v>10</v>
      </c>
      <c r="G541" s="9" t="s">
        <v>11</v>
      </c>
    </row>
    <row r="542" spans="1:7" ht="12.75">
      <c r="A542" s="62" t="s">
        <v>813</v>
      </c>
      <c r="B542" s="63"/>
      <c r="C542" s="9">
        <v>1987</v>
      </c>
      <c r="D542" s="9" t="s">
        <v>73</v>
      </c>
      <c r="E542" s="10" t="s">
        <v>17</v>
      </c>
      <c r="F542" s="10" t="s">
        <v>10</v>
      </c>
      <c r="G542" s="9" t="s">
        <v>11</v>
      </c>
    </row>
    <row r="543" spans="1:7" ht="12.75">
      <c r="A543" s="62" t="s">
        <v>814</v>
      </c>
      <c r="B543" s="63"/>
      <c r="C543" s="9">
        <v>1987</v>
      </c>
      <c r="D543" s="9" t="s">
        <v>73</v>
      </c>
      <c r="E543" s="10" t="s">
        <v>17</v>
      </c>
      <c r="F543" s="10" t="s">
        <v>10</v>
      </c>
      <c r="G543" s="9" t="s">
        <v>11</v>
      </c>
    </row>
    <row r="544" spans="1:7" ht="12.75">
      <c r="A544" s="33" t="s">
        <v>815</v>
      </c>
      <c r="B544" s="61"/>
      <c r="C544" s="13">
        <v>1986</v>
      </c>
      <c r="D544" s="13" t="s">
        <v>135</v>
      </c>
      <c r="E544" s="14" t="s">
        <v>110</v>
      </c>
      <c r="F544" s="14" t="s">
        <v>10</v>
      </c>
      <c r="G544" s="13" t="s">
        <v>18</v>
      </c>
    </row>
    <row r="545" spans="1:7" ht="12.75">
      <c r="A545" s="62" t="s">
        <v>816</v>
      </c>
      <c r="B545" s="63"/>
      <c r="C545" s="9">
        <v>1985</v>
      </c>
      <c r="D545" s="9" t="s">
        <v>317</v>
      </c>
      <c r="E545" s="10" t="s">
        <v>9</v>
      </c>
      <c r="F545" s="10" t="s">
        <v>27</v>
      </c>
      <c r="G545" s="9" t="s">
        <v>11</v>
      </c>
    </row>
    <row r="546" spans="1:7" ht="12.75">
      <c r="A546" s="62" t="s">
        <v>817</v>
      </c>
      <c r="B546" s="63"/>
      <c r="C546" s="9">
        <v>1986</v>
      </c>
      <c r="D546" s="9" t="s">
        <v>66</v>
      </c>
      <c r="E546" s="10" t="s">
        <v>43</v>
      </c>
      <c r="F546" s="10" t="s">
        <v>10</v>
      </c>
      <c r="G546" s="9" t="s">
        <v>11</v>
      </c>
    </row>
    <row r="547" spans="1:7" ht="12.75">
      <c r="A547" s="33" t="s">
        <v>818</v>
      </c>
      <c r="B547" s="61"/>
      <c r="C547" s="13">
        <v>1988</v>
      </c>
      <c r="D547" s="13" t="s">
        <v>45</v>
      </c>
      <c r="E547" s="14" t="s">
        <v>43</v>
      </c>
      <c r="F547" s="14" t="s">
        <v>178</v>
      </c>
      <c r="G547" s="13" t="s">
        <v>18</v>
      </c>
    </row>
    <row r="548" spans="1:7" ht="12.75">
      <c r="A548" s="34" t="s">
        <v>819</v>
      </c>
      <c r="B548" s="58"/>
      <c r="C548" s="13">
        <v>1985</v>
      </c>
      <c r="D548" s="13" t="s">
        <v>820</v>
      </c>
      <c r="E548" s="14" t="s">
        <v>24</v>
      </c>
      <c r="F548" s="14" t="s">
        <v>21</v>
      </c>
      <c r="G548" s="13" t="s">
        <v>18</v>
      </c>
    </row>
    <row r="549" spans="1:7" ht="12.75">
      <c r="A549" s="59" t="s">
        <v>821</v>
      </c>
      <c r="B549" s="60"/>
      <c r="C549" s="9">
        <v>1983</v>
      </c>
      <c r="D549" s="9" t="s">
        <v>89</v>
      </c>
      <c r="E549" s="10" t="s">
        <v>207</v>
      </c>
      <c r="F549" s="10" t="s">
        <v>21</v>
      </c>
      <c r="G549" s="9" t="s">
        <v>11</v>
      </c>
    </row>
    <row r="550" spans="1:7" ht="12.75">
      <c r="A550" s="59" t="s">
        <v>822</v>
      </c>
      <c r="B550" s="60"/>
      <c r="C550" s="9">
        <v>1986</v>
      </c>
      <c r="D550" s="9" t="s">
        <v>107</v>
      </c>
      <c r="E550" s="10" t="s">
        <v>24</v>
      </c>
      <c r="F550" s="10" t="s">
        <v>52</v>
      </c>
      <c r="G550" s="9" t="s">
        <v>11</v>
      </c>
    </row>
    <row r="551" spans="1:7" ht="12.75">
      <c r="A551" s="33" t="s">
        <v>823</v>
      </c>
      <c r="B551" s="61"/>
      <c r="C551" s="13">
        <v>1986</v>
      </c>
      <c r="D551" s="13" t="s">
        <v>135</v>
      </c>
      <c r="E551" s="14" t="s">
        <v>110</v>
      </c>
      <c r="F551" s="14" t="s">
        <v>10</v>
      </c>
      <c r="G551" s="13" t="s">
        <v>18</v>
      </c>
    </row>
    <row r="552" spans="1:7" ht="12.75">
      <c r="A552" s="62" t="s">
        <v>824</v>
      </c>
      <c r="B552" s="63"/>
      <c r="C552" s="9">
        <v>1987</v>
      </c>
      <c r="D552" s="9" t="s">
        <v>666</v>
      </c>
      <c r="E552" s="10" t="s">
        <v>24</v>
      </c>
      <c r="F552" s="10" t="s">
        <v>10</v>
      </c>
      <c r="G552" s="9" t="s">
        <v>11</v>
      </c>
    </row>
    <row r="553" spans="1:7" ht="12.75">
      <c r="A553" s="33" t="s">
        <v>825</v>
      </c>
      <c r="B553" s="61"/>
      <c r="C553" s="13">
        <v>1984</v>
      </c>
      <c r="D553" s="13" t="s">
        <v>26</v>
      </c>
      <c r="E553" s="14" t="s">
        <v>9</v>
      </c>
      <c r="F553" s="14" t="s">
        <v>27</v>
      </c>
      <c r="G553" s="13" t="s">
        <v>18</v>
      </c>
    </row>
    <row r="554" spans="1:7" ht="12.75">
      <c r="A554" s="62" t="s">
        <v>826</v>
      </c>
      <c r="B554" s="63"/>
      <c r="C554" s="9">
        <v>1988</v>
      </c>
      <c r="D554" s="9" t="s">
        <v>385</v>
      </c>
      <c r="E554" s="10" t="s">
        <v>24</v>
      </c>
      <c r="F554" s="10" t="s">
        <v>10</v>
      </c>
      <c r="G554" s="9" t="s">
        <v>11</v>
      </c>
    </row>
    <row r="555" spans="1:7" ht="12.75">
      <c r="A555" s="62" t="s">
        <v>827</v>
      </c>
      <c r="B555" s="63"/>
      <c r="C555" s="9">
        <v>1991</v>
      </c>
      <c r="D555" s="9" t="s">
        <v>828</v>
      </c>
      <c r="E555" s="10" t="s">
        <v>24</v>
      </c>
      <c r="F555" s="10" t="s">
        <v>10</v>
      </c>
      <c r="G555" s="9" t="s">
        <v>11</v>
      </c>
    </row>
    <row r="556" spans="1:7" ht="12.75">
      <c r="A556" s="38" t="s">
        <v>829</v>
      </c>
      <c r="B556" s="39"/>
      <c r="C556" s="9">
        <v>1985</v>
      </c>
      <c r="D556" s="9" t="s">
        <v>42</v>
      </c>
      <c r="E556" s="10" t="s">
        <v>9</v>
      </c>
      <c r="F556" s="10" t="s">
        <v>102</v>
      </c>
      <c r="G556" s="9" t="s">
        <v>11</v>
      </c>
    </row>
    <row r="557" spans="1:7" ht="12.75">
      <c r="A557" s="62" t="s">
        <v>830</v>
      </c>
      <c r="B557" s="63"/>
      <c r="C557" s="9">
        <v>1985</v>
      </c>
      <c r="D557" s="9" t="s">
        <v>512</v>
      </c>
      <c r="E557" s="10" t="s">
        <v>307</v>
      </c>
      <c r="F557" s="10" t="s">
        <v>27</v>
      </c>
      <c r="G557" s="9" t="s">
        <v>11</v>
      </c>
    </row>
    <row r="558" spans="1:7" ht="12.75">
      <c r="A558" s="62" t="s">
        <v>831</v>
      </c>
      <c r="B558" s="63"/>
      <c r="C558" s="9">
        <v>1987</v>
      </c>
      <c r="D558" s="9" t="s">
        <v>135</v>
      </c>
      <c r="E558" s="10" t="s">
        <v>110</v>
      </c>
      <c r="F558" s="10" t="s">
        <v>10</v>
      </c>
      <c r="G558" s="9" t="s">
        <v>11</v>
      </c>
    </row>
    <row r="559" spans="1:7" ht="12.75">
      <c r="A559" s="34" t="s">
        <v>832</v>
      </c>
      <c r="B559" s="58"/>
      <c r="C559" s="13">
        <v>1984</v>
      </c>
      <c r="D559" s="13" t="s">
        <v>459</v>
      </c>
      <c r="E559" s="14" t="s">
        <v>24</v>
      </c>
      <c r="F559" s="14" t="s">
        <v>21</v>
      </c>
      <c r="G559" s="13" t="s">
        <v>18</v>
      </c>
    </row>
    <row r="560" spans="1:7" ht="12.75">
      <c r="A560" s="33" t="s">
        <v>833</v>
      </c>
      <c r="B560" s="61"/>
      <c r="C560" s="13">
        <v>1990</v>
      </c>
      <c r="D560" s="13" t="s">
        <v>297</v>
      </c>
      <c r="E560" s="14" t="s">
        <v>307</v>
      </c>
      <c r="F560" s="14" t="s">
        <v>21</v>
      </c>
      <c r="G560" s="13" t="s">
        <v>18</v>
      </c>
    </row>
    <row r="561" spans="1:7" ht="12.75">
      <c r="A561" s="34" t="s">
        <v>834</v>
      </c>
      <c r="B561" s="58"/>
      <c r="C561" s="13">
        <v>1986</v>
      </c>
      <c r="D561" s="13" t="s">
        <v>835</v>
      </c>
      <c r="E561" s="14" t="s">
        <v>9</v>
      </c>
      <c r="F561" s="14" t="s">
        <v>21</v>
      </c>
      <c r="G561" s="13" t="s">
        <v>18</v>
      </c>
    </row>
    <row r="562" spans="1:7" ht="12.75">
      <c r="A562" s="59" t="s">
        <v>836</v>
      </c>
      <c r="B562" s="60"/>
      <c r="C562" s="9">
        <v>1985</v>
      </c>
      <c r="D562" s="9" t="s">
        <v>250</v>
      </c>
      <c r="E562" s="10" t="s">
        <v>9</v>
      </c>
      <c r="F562" s="10" t="s">
        <v>10</v>
      </c>
      <c r="G562" s="9" t="s">
        <v>11</v>
      </c>
    </row>
    <row r="563" spans="1:7" ht="12.75">
      <c r="A563" s="33" t="s">
        <v>837</v>
      </c>
      <c r="B563" s="61"/>
      <c r="C563" s="13">
        <v>1986</v>
      </c>
      <c r="D563" s="13" t="s">
        <v>66</v>
      </c>
      <c r="E563" s="14" t="s">
        <v>43</v>
      </c>
      <c r="F563" s="67" t="s">
        <v>838</v>
      </c>
      <c r="G563" s="13" t="s">
        <v>18</v>
      </c>
    </row>
    <row r="564" spans="1:7" ht="12.75">
      <c r="A564" s="33" t="s">
        <v>839</v>
      </c>
      <c r="B564" s="61"/>
      <c r="C564" s="13">
        <v>1986</v>
      </c>
      <c r="D564" s="13" t="s">
        <v>66</v>
      </c>
      <c r="E564" s="14" t="s">
        <v>43</v>
      </c>
      <c r="F564" s="14" t="s">
        <v>10</v>
      </c>
      <c r="G564" s="13" t="s">
        <v>18</v>
      </c>
    </row>
    <row r="565" spans="1:7" ht="12.75">
      <c r="A565" s="62" t="s">
        <v>840</v>
      </c>
      <c r="B565" s="63"/>
      <c r="C565" s="9">
        <v>1985</v>
      </c>
      <c r="D565" s="9" t="s">
        <v>841</v>
      </c>
      <c r="E565" s="10" t="s">
        <v>43</v>
      </c>
      <c r="F565" s="10" t="s">
        <v>10</v>
      </c>
      <c r="G565" s="9" t="s">
        <v>11</v>
      </c>
    </row>
    <row r="566" spans="1:7" ht="12.75">
      <c r="A566" s="33" t="s">
        <v>842</v>
      </c>
      <c r="B566" s="61"/>
      <c r="C566" s="13">
        <v>1986</v>
      </c>
      <c r="D566" s="13" t="s">
        <v>843</v>
      </c>
      <c r="E566" s="14" t="s">
        <v>43</v>
      </c>
      <c r="F566" s="14" t="s">
        <v>21</v>
      </c>
      <c r="G566" s="13" t="s">
        <v>18</v>
      </c>
    </row>
    <row r="567" spans="1:7" ht="12.75">
      <c r="A567" s="33" t="s">
        <v>844</v>
      </c>
      <c r="B567" s="61"/>
      <c r="C567" s="13">
        <v>1987</v>
      </c>
      <c r="D567" s="13" t="s">
        <v>486</v>
      </c>
      <c r="E567" s="14" t="s">
        <v>9</v>
      </c>
      <c r="F567" s="14" t="s">
        <v>10</v>
      </c>
      <c r="G567" s="13" t="s">
        <v>18</v>
      </c>
    </row>
    <row r="568" spans="1:7" ht="12.75">
      <c r="A568" s="34" t="s">
        <v>845</v>
      </c>
      <c r="B568" s="58"/>
      <c r="C568" s="13">
        <v>1984</v>
      </c>
      <c r="D568" s="13" t="s">
        <v>23</v>
      </c>
      <c r="E568" s="14" t="s">
        <v>9</v>
      </c>
      <c r="F568" s="14" t="s">
        <v>21</v>
      </c>
      <c r="G568" s="13" t="s">
        <v>18</v>
      </c>
    </row>
    <row r="569" spans="1:7" ht="12.75">
      <c r="A569" s="62" t="s">
        <v>846</v>
      </c>
      <c r="B569" s="63"/>
      <c r="C569" s="9">
        <v>1985</v>
      </c>
      <c r="D569" s="9" t="s">
        <v>847</v>
      </c>
      <c r="E569" s="10" t="s">
        <v>307</v>
      </c>
      <c r="F569" s="10" t="s">
        <v>10</v>
      </c>
      <c r="G569" s="9" t="s">
        <v>11</v>
      </c>
    </row>
    <row r="570" spans="1:7" ht="12.75">
      <c r="A570" s="62" t="s">
        <v>848</v>
      </c>
      <c r="B570" s="63"/>
      <c r="C570" s="9">
        <v>1986</v>
      </c>
      <c r="D570" s="9" t="s">
        <v>669</v>
      </c>
      <c r="E570" s="10" t="s">
        <v>9</v>
      </c>
      <c r="F570" s="10" t="s">
        <v>10</v>
      </c>
      <c r="G570" s="9" t="s">
        <v>11</v>
      </c>
    </row>
    <row r="571" spans="1:7" ht="12.75">
      <c r="A571" s="38" t="s">
        <v>849</v>
      </c>
      <c r="B571" s="39"/>
      <c r="C571" s="9">
        <v>1986</v>
      </c>
      <c r="D571" s="9" t="s">
        <v>850</v>
      </c>
      <c r="E571" s="10" t="s">
        <v>55</v>
      </c>
      <c r="F571" s="10" t="s">
        <v>102</v>
      </c>
      <c r="G571" s="9" t="s">
        <v>11</v>
      </c>
    </row>
    <row r="572" spans="1:7" ht="12.75">
      <c r="A572" s="62" t="s">
        <v>851</v>
      </c>
      <c r="B572" s="63"/>
      <c r="C572" s="9">
        <v>1986</v>
      </c>
      <c r="D572" s="9" t="s">
        <v>666</v>
      </c>
      <c r="E572" s="10" t="s">
        <v>17</v>
      </c>
      <c r="F572" s="10" t="s">
        <v>10</v>
      </c>
      <c r="G572" s="9" t="s">
        <v>11</v>
      </c>
    </row>
    <row r="573" spans="1:7" ht="12.75">
      <c r="A573" s="33" t="s">
        <v>852</v>
      </c>
      <c r="B573" s="61"/>
      <c r="C573" s="13">
        <v>1987</v>
      </c>
      <c r="D573" s="13" t="s">
        <v>853</v>
      </c>
      <c r="E573" s="14" t="s">
        <v>43</v>
      </c>
      <c r="F573" s="14" t="s">
        <v>10</v>
      </c>
      <c r="G573" s="13" t="s">
        <v>18</v>
      </c>
    </row>
    <row r="574" spans="1:7" ht="12.75">
      <c r="A574" s="62" t="s">
        <v>854</v>
      </c>
      <c r="B574" s="63"/>
      <c r="C574" s="9">
        <v>1988</v>
      </c>
      <c r="D574" s="9" t="s">
        <v>853</v>
      </c>
      <c r="E574" s="10" t="s">
        <v>43</v>
      </c>
      <c r="F574" s="10" t="s">
        <v>10</v>
      </c>
      <c r="G574" s="9" t="s">
        <v>11</v>
      </c>
    </row>
    <row r="575" spans="1:7" ht="12.75">
      <c r="A575" s="33" t="s">
        <v>855</v>
      </c>
      <c r="B575" s="61"/>
      <c r="C575" s="13">
        <v>1987</v>
      </c>
      <c r="D575" s="13" t="s">
        <v>198</v>
      </c>
      <c r="E575" s="14" t="s">
        <v>43</v>
      </c>
      <c r="F575" s="14" t="s">
        <v>10</v>
      </c>
      <c r="G575" s="13" t="s">
        <v>18</v>
      </c>
    </row>
    <row r="576" spans="1:7" ht="12.75">
      <c r="A576" s="62" t="s">
        <v>856</v>
      </c>
      <c r="B576" s="63"/>
      <c r="C576" s="9">
        <v>1986</v>
      </c>
      <c r="D576" s="9" t="s">
        <v>857</v>
      </c>
      <c r="E576" s="10" t="s">
        <v>9</v>
      </c>
      <c r="F576" s="10" t="s">
        <v>10</v>
      </c>
      <c r="G576" s="9" t="s">
        <v>11</v>
      </c>
    </row>
    <row r="577" spans="1:7" ht="12.75">
      <c r="A577" s="62" t="s">
        <v>858</v>
      </c>
      <c r="B577" s="63"/>
      <c r="C577" s="9">
        <v>1985</v>
      </c>
      <c r="D577" s="9" t="s">
        <v>85</v>
      </c>
      <c r="E577" s="10" t="s">
        <v>9</v>
      </c>
      <c r="F577" s="10" t="s">
        <v>10</v>
      </c>
      <c r="G577" s="9" t="s">
        <v>11</v>
      </c>
    </row>
    <row r="578" spans="1:7" ht="12.75">
      <c r="A578" s="62" t="s">
        <v>859</v>
      </c>
      <c r="B578" s="63"/>
      <c r="C578" s="9">
        <v>1985</v>
      </c>
      <c r="D578" s="9" t="s">
        <v>496</v>
      </c>
      <c r="E578" s="10" t="s">
        <v>24</v>
      </c>
      <c r="F578" s="10" t="s">
        <v>27</v>
      </c>
      <c r="G578" s="9" t="s">
        <v>11</v>
      </c>
    </row>
    <row r="579" spans="1:7" ht="12.75">
      <c r="A579" s="62" t="s">
        <v>860</v>
      </c>
      <c r="B579" s="63"/>
      <c r="C579" s="9">
        <v>1985</v>
      </c>
      <c r="D579" s="9" t="s">
        <v>135</v>
      </c>
      <c r="E579" s="10" t="s">
        <v>792</v>
      </c>
      <c r="F579" s="10" t="s">
        <v>10</v>
      </c>
      <c r="G579" s="9" t="s">
        <v>11</v>
      </c>
    </row>
    <row r="580" spans="1:7" ht="12.75">
      <c r="A580" s="33" t="s">
        <v>861</v>
      </c>
      <c r="B580" s="61"/>
      <c r="C580" s="13">
        <v>2008</v>
      </c>
      <c r="D580" s="13" t="s">
        <v>862</v>
      </c>
      <c r="E580" s="14" t="s">
        <v>43</v>
      </c>
      <c r="F580" s="14" t="s">
        <v>21</v>
      </c>
      <c r="G580" s="13" t="s">
        <v>18</v>
      </c>
    </row>
    <row r="581" spans="1:7" ht="12.75">
      <c r="A581" s="38" t="s">
        <v>863</v>
      </c>
      <c r="B581" s="39"/>
      <c r="C581" s="9" t="s">
        <v>102</v>
      </c>
      <c r="D581" s="9" t="s">
        <v>864</v>
      </c>
      <c r="E581" s="10" t="s">
        <v>43</v>
      </c>
      <c r="F581" s="10" t="s">
        <v>102</v>
      </c>
      <c r="G581" s="9" t="s">
        <v>11</v>
      </c>
    </row>
    <row r="582" spans="1:7" ht="12.75">
      <c r="A582" s="38" t="s">
        <v>865</v>
      </c>
      <c r="B582" s="39"/>
      <c r="C582" s="9">
        <v>1986</v>
      </c>
      <c r="D582" s="9" t="s">
        <v>866</v>
      </c>
      <c r="E582" s="10" t="s">
        <v>51</v>
      </c>
      <c r="F582" s="10" t="s">
        <v>102</v>
      </c>
      <c r="G582" s="9" t="s">
        <v>11</v>
      </c>
    </row>
    <row r="583" spans="1:7" ht="12.75">
      <c r="A583" s="62" t="s">
        <v>867</v>
      </c>
      <c r="B583" s="63"/>
      <c r="C583" s="9">
        <v>1987</v>
      </c>
      <c r="D583" s="9" t="s">
        <v>73</v>
      </c>
      <c r="E583" s="10" t="s">
        <v>9</v>
      </c>
      <c r="F583" s="10" t="s">
        <v>10</v>
      </c>
      <c r="G583" s="9" t="s">
        <v>11</v>
      </c>
    </row>
    <row r="584" spans="1:7" ht="12.75">
      <c r="A584" s="62" t="s">
        <v>868</v>
      </c>
      <c r="B584" s="63"/>
      <c r="C584" s="9">
        <v>1989</v>
      </c>
      <c r="D584" s="9" t="s">
        <v>73</v>
      </c>
      <c r="E584" s="10" t="s">
        <v>9</v>
      </c>
      <c r="F584" s="10" t="s">
        <v>10</v>
      </c>
      <c r="G584" s="9" t="s">
        <v>11</v>
      </c>
    </row>
    <row r="585" spans="1:7" ht="12.75">
      <c r="A585" s="62" t="s">
        <v>869</v>
      </c>
      <c r="B585" s="63"/>
      <c r="C585" s="9">
        <v>1985</v>
      </c>
      <c r="D585" s="9" t="s">
        <v>870</v>
      </c>
      <c r="E585" s="10" t="s">
        <v>871</v>
      </c>
      <c r="F585" s="10" t="s">
        <v>10</v>
      </c>
      <c r="G585" s="9" t="s">
        <v>11</v>
      </c>
    </row>
    <row r="586" spans="1:7" ht="12.75">
      <c r="A586" s="113" t="s">
        <v>872</v>
      </c>
      <c r="B586" s="114"/>
      <c r="C586" s="13">
        <v>1983</v>
      </c>
      <c r="D586" s="13" t="s">
        <v>62</v>
      </c>
      <c r="E586" s="14" t="s">
        <v>58</v>
      </c>
      <c r="F586" s="14" t="s">
        <v>21</v>
      </c>
      <c r="G586" s="13" t="s">
        <v>18</v>
      </c>
    </row>
    <row r="587" spans="1:7" ht="12.75">
      <c r="A587" s="115" t="str">
        <f>HYPERLINK("http://www.generation-msx.nl/msxdb/softwareinfo/304"," Front Line")</f>
        <v> Front Line</v>
      </c>
      <c r="B587" s="116"/>
      <c r="C587" s="13">
        <v>1984</v>
      </c>
      <c r="D587" s="13" t="s">
        <v>169</v>
      </c>
      <c r="E587" s="14" t="s">
        <v>24</v>
      </c>
      <c r="F587" s="67" t="s">
        <v>483</v>
      </c>
      <c r="G587" s="13" t="s">
        <v>18</v>
      </c>
    </row>
    <row r="588" spans="1:7" ht="12.75">
      <c r="A588" s="38" t="s">
        <v>873</v>
      </c>
      <c r="B588" s="39"/>
      <c r="C588" s="117">
        <v>1987</v>
      </c>
      <c r="D588" s="9" t="s">
        <v>874</v>
      </c>
      <c r="E588" s="10" t="s">
        <v>9</v>
      </c>
      <c r="F588" s="10" t="s">
        <v>102</v>
      </c>
      <c r="G588" s="9" t="s">
        <v>11</v>
      </c>
    </row>
    <row r="589" spans="1:7" ht="12.75">
      <c r="A589" s="118" t="str">
        <f>HYPERLINK("http://www.generation-msx.nl/msxdb/softwareinfo/3221"," Fruit Machine")</f>
        <v> Fruit Machine</v>
      </c>
      <c r="B589" s="75"/>
      <c r="C589" s="9">
        <v>1985</v>
      </c>
      <c r="D589" s="9" t="s">
        <v>875</v>
      </c>
      <c r="E589" s="10" t="s">
        <v>667</v>
      </c>
      <c r="F589" s="10" t="s">
        <v>10</v>
      </c>
      <c r="G589" s="9" t="s">
        <v>11</v>
      </c>
    </row>
    <row r="590" spans="1:7" ht="12.75">
      <c r="A590" s="118" t="str">
        <f>HYPERLINK("http://www.generation-msx.nl/msxdb/softwareinfo/298"," Fruit Panic")</f>
        <v> Fruit Panic</v>
      </c>
      <c r="B590" s="75"/>
      <c r="C590" s="9">
        <v>1984</v>
      </c>
      <c r="D590" s="9" t="s">
        <v>128</v>
      </c>
      <c r="E590" s="10" t="s">
        <v>9</v>
      </c>
      <c r="F590" s="10" t="s">
        <v>10</v>
      </c>
      <c r="G590" s="9" t="s">
        <v>11</v>
      </c>
    </row>
    <row r="591" spans="1:7" ht="12.75">
      <c r="A591" s="118" t="str">
        <f>HYPERLINK("http://www.generation-msx.nl/msxdb/softwareinfo/298"," Fruit Search")</f>
        <v> Fruit Search</v>
      </c>
      <c r="B591" s="75"/>
      <c r="C591" s="9">
        <v>1983</v>
      </c>
      <c r="D591" s="9" t="s">
        <v>215</v>
      </c>
      <c r="E591" s="10" t="s">
        <v>307</v>
      </c>
      <c r="F591" s="10" t="s">
        <v>21</v>
      </c>
      <c r="G591" s="9" t="s">
        <v>11</v>
      </c>
    </row>
    <row r="592" spans="1:7" ht="12.75">
      <c r="A592" s="119" t="str">
        <f>HYPERLINK("http://www.generation-msx.nl/msxdb/softwareinfo/3165"," Fruity Frank")</f>
        <v> Fruity Frank</v>
      </c>
      <c r="B592" s="86"/>
      <c r="C592" s="13">
        <v>1985</v>
      </c>
      <c r="D592" s="13" t="s">
        <v>183</v>
      </c>
      <c r="E592" s="14" t="s">
        <v>9</v>
      </c>
      <c r="F592" s="14" t="s">
        <v>10</v>
      </c>
      <c r="G592" s="13" t="s">
        <v>18</v>
      </c>
    </row>
    <row r="593" spans="1:7" ht="12.75">
      <c r="A593" s="38" t="s">
        <v>876</v>
      </c>
      <c r="B593" s="39"/>
      <c r="C593" s="9">
        <v>1984</v>
      </c>
      <c r="D593" s="9" t="s">
        <v>877</v>
      </c>
      <c r="E593" s="10" t="s">
        <v>67</v>
      </c>
      <c r="F593" s="10" t="s">
        <v>102</v>
      </c>
      <c r="G593" s="9" t="s">
        <v>11</v>
      </c>
    </row>
    <row r="594" spans="1:7" ht="12.75">
      <c r="A594" s="120" t="str">
        <f>HYPERLINK("http://www.generation-msx.nl/msxdb/softwareinfo/291"," Funky Mouse")</f>
        <v> Funky Mouse</v>
      </c>
      <c r="B594" s="13"/>
      <c r="C594" s="13">
        <v>1984</v>
      </c>
      <c r="D594" s="13" t="s">
        <v>803</v>
      </c>
      <c r="E594" s="14" t="s">
        <v>9</v>
      </c>
      <c r="F594" s="14" t="s">
        <v>21</v>
      </c>
      <c r="G594" s="13" t="s">
        <v>18</v>
      </c>
    </row>
    <row r="595" spans="1:7" ht="12.75">
      <c r="A595" s="121" t="str">
        <f>HYPERLINK("http://www.generation-msx.nl/msxdb/softwareinfo/2202"," Futbol")</f>
        <v> Futbol</v>
      </c>
      <c r="B595" s="9"/>
      <c r="C595" s="9">
        <v>1985</v>
      </c>
      <c r="D595" s="9" t="s">
        <v>268</v>
      </c>
      <c r="E595" s="10" t="s">
        <v>17</v>
      </c>
      <c r="F595" s="10" t="s">
        <v>10</v>
      </c>
      <c r="G595" s="9" t="s">
        <v>11</v>
      </c>
    </row>
    <row r="596" spans="1:7" ht="12.75">
      <c r="A596" s="121" t="str">
        <f>HYPERLINK("http://www.generation-msx.nl/msxdb/softwareinfo/3073"," Future Knight")</f>
        <v> Future Knight</v>
      </c>
      <c r="B596" s="9"/>
      <c r="C596" s="9">
        <v>1986</v>
      </c>
      <c r="D596" s="9" t="s">
        <v>198</v>
      </c>
      <c r="E596" s="10" t="s">
        <v>110</v>
      </c>
      <c r="F596" s="10" t="s">
        <v>10</v>
      </c>
      <c r="G596" s="9" t="s">
        <v>11</v>
      </c>
    </row>
    <row r="597" spans="1:7" ht="12.75">
      <c r="A597" s="121" t="s">
        <v>878</v>
      </c>
      <c r="B597" s="18" t="str">
        <f>HYPERLINK("http://www.generation-msx.nl/msxdb/softwareinfo/2440"," Lien")</f>
        <v> Lien</v>
      </c>
      <c r="C597" s="9">
        <v>1986</v>
      </c>
      <c r="D597" s="9" t="s">
        <v>466</v>
      </c>
      <c r="E597" s="10" t="s">
        <v>9</v>
      </c>
      <c r="F597" s="10" t="s">
        <v>10</v>
      </c>
      <c r="G597" s="9" t="s">
        <v>11</v>
      </c>
    </row>
    <row r="598" spans="1:7" ht="12.75">
      <c r="A598" s="121" t="str">
        <f>HYPERLINK("http://www.generation-msx.nl/msxdb/softwareinfo/3120"," FX-15")</f>
        <v> FX-15</v>
      </c>
      <c r="B598" s="9"/>
      <c r="C598" s="9">
        <v>1987</v>
      </c>
      <c r="D598" s="9" t="s">
        <v>85</v>
      </c>
      <c r="E598" s="10" t="s">
        <v>24</v>
      </c>
      <c r="F598" s="10" t="s">
        <v>10</v>
      </c>
      <c r="G598" s="9" t="s">
        <v>11</v>
      </c>
    </row>
    <row r="599" spans="1:7" ht="12.75">
      <c r="A599" s="121" t="str">
        <f>HYPERLINK("http://www.generation-msx.nl/msxdb/softwareinfo/3440"," Galactic Mercenaries")</f>
        <v> Galactic Mercenaries</v>
      </c>
      <c r="B599" s="9"/>
      <c r="C599" s="9">
        <v>1985</v>
      </c>
      <c r="D599" s="9" t="s">
        <v>879</v>
      </c>
      <c r="E599" s="10" t="s">
        <v>323</v>
      </c>
      <c r="F599" s="10" t="s">
        <v>178</v>
      </c>
      <c r="G599" s="9" t="s">
        <v>11</v>
      </c>
    </row>
    <row r="600" spans="1:7" ht="12.75">
      <c r="A600" s="120" t="str">
        <f>HYPERLINK("http://www.generation-msx.nl/msxdb/softwareinfo/141"," Galaga")</f>
        <v> Galaga</v>
      </c>
      <c r="B600" s="13"/>
      <c r="C600" s="13">
        <v>1984</v>
      </c>
      <c r="D600" s="13" t="s">
        <v>344</v>
      </c>
      <c r="E600" s="14" t="s">
        <v>24</v>
      </c>
      <c r="F600" s="14" t="s">
        <v>27</v>
      </c>
      <c r="G600" s="13" t="s">
        <v>18</v>
      </c>
    </row>
    <row r="601" spans="1:7" ht="12.75">
      <c r="A601" s="121" t="str">
        <f>HYPERLINK("http://www.generation-msx.nl/msxdb/softwareinfo/2883"," Galaxia")</f>
        <v> Galaxia</v>
      </c>
      <c r="B601" s="9"/>
      <c r="C601" s="9">
        <v>1985</v>
      </c>
      <c r="D601" s="9" t="s">
        <v>579</v>
      </c>
      <c r="E601" s="10" t="s">
        <v>24</v>
      </c>
      <c r="F601" s="10" t="s">
        <v>10</v>
      </c>
      <c r="G601" s="9" t="s">
        <v>11</v>
      </c>
    </row>
    <row r="602" spans="1:7" ht="12.75">
      <c r="A602" s="120" t="str">
        <f>HYPERLINK("http://www.generation-msx.nl/msxdb/softwareinfo/142"," Galaxian")</f>
        <v> Galaxian</v>
      </c>
      <c r="B602" s="13"/>
      <c r="C602" s="13">
        <v>1984</v>
      </c>
      <c r="D602" s="13" t="s">
        <v>344</v>
      </c>
      <c r="E602" s="14" t="s">
        <v>24</v>
      </c>
      <c r="F602" s="14" t="s">
        <v>27</v>
      </c>
      <c r="G602" s="13" t="s">
        <v>18</v>
      </c>
    </row>
    <row r="603" spans="1:7" ht="12.75">
      <c r="A603" s="38" t="s">
        <v>880</v>
      </c>
      <c r="B603" s="39"/>
      <c r="C603" s="9" t="s">
        <v>102</v>
      </c>
      <c r="D603" s="9" t="s">
        <v>102</v>
      </c>
      <c r="E603" s="10" t="s">
        <v>24</v>
      </c>
      <c r="F603" s="10" t="s">
        <v>102</v>
      </c>
      <c r="G603" s="9" t="s">
        <v>11</v>
      </c>
    </row>
    <row r="604" spans="1:7" ht="12.75">
      <c r="A604" s="38" t="s">
        <v>881</v>
      </c>
      <c r="B604" s="39"/>
      <c r="C604" s="9">
        <v>1988</v>
      </c>
      <c r="D604" s="9" t="s">
        <v>882</v>
      </c>
      <c r="E604" s="10" t="s">
        <v>307</v>
      </c>
      <c r="F604" s="10" t="s">
        <v>102</v>
      </c>
      <c r="G604" s="9" t="s">
        <v>11</v>
      </c>
    </row>
    <row r="605" spans="1:7" ht="12.75">
      <c r="A605" s="120" t="str">
        <f>HYPERLINK("http://www.generation-msx.nl/msxdb/softwareinfo/733"," Gall Force")</f>
        <v> Gall Force</v>
      </c>
      <c r="B605" s="13"/>
      <c r="C605" s="13">
        <v>1986</v>
      </c>
      <c r="D605" s="13" t="s">
        <v>206</v>
      </c>
      <c r="E605" s="14" t="s">
        <v>24</v>
      </c>
      <c r="F605" s="14" t="s">
        <v>52</v>
      </c>
      <c r="G605" s="13" t="s">
        <v>18</v>
      </c>
    </row>
    <row r="606" spans="1:7" ht="12.75">
      <c r="A606" s="38" t="s">
        <v>883</v>
      </c>
      <c r="B606" s="39"/>
      <c r="C606" s="9" t="s">
        <v>102</v>
      </c>
      <c r="D606" s="9" t="s">
        <v>102</v>
      </c>
      <c r="E606" s="10" t="s">
        <v>24</v>
      </c>
      <c r="F606" s="10" t="s">
        <v>102</v>
      </c>
      <c r="G606" s="9" t="s">
        <v>11</v>
      </c>
    </row>
    <row r="607" spans="1:7" ht="12.75">
      <c r="A607" s="93" t="s">
        <v>884</v>
      </c>
      <c r="B607" s="122"/>
      <c r="C607" s="9">
        <v>1988</v>
      </c>
      <c r="D607" s="9" t="s">
        <v>885</v>
      </c>
      <c r="E607" s="10" t="s">
        <v>207</v>
      </c>
      <c r="F607" s="10" t="s">
        <v>102</v>
      </c>
      <c r="G607" s="9" t="s">
        <v>11</v>
      </c>
    </row>
    <row r="608" spans="1:7" ht="12.75">
      <c r="A608" s="120" t="str">
        <f>HYPERLINK("http://www.generation-msx.nl/msxdb/softwareinfo/1107"," Game collection")</f>
        <v> Game collection</v>
      </c>
      <c r="B608" s="13"/>
      <c r="C608" s="13">
        <v>1988</v>
      </c>
      <c r="D608" s="13" t="s">
        <v>62</v>
      </c>
      <c r="E608" s="14" t="s">
        <v>79</v>
      </c>
      <c r="F608" s="14" t="s">
        <v>48</v>
      </c>
      <c r="G608" s="13" t="s">
        <v>18</v>
      </c>
    </row>
    <row r="609" spans="1:7" ht="12.75">
      <c r="A609" s="120" t="str">
        <f>HYPERLINK("http://www.generation-msx.nl/msxdb/softwareinfo/1108"," Game collection 2")</f>
        <v> Game collection 2</v>
      </c>
      <c r="B609" s="13"/>
      <c r="C609" s="13">
        <v>1988</v>
      </c>
      <c r="D609" s="13" t="s">
        <v>62</v>
      </c>
      <c r="E609" s="14" t="s">
        <v>79</v>
      </c>
      <c r="F609" s="14" t="s">
        <v>48</v>
      </c>
      <c r="G609" s="13" t="s">
        <v>18</v>
      </c>
    </row>
    <row r="610" spans="1:7" ht="12.75">
      <c r="A610" s="120" t="str">
        <f>HYPERLINK("http://www.generation-msx.nl/msxdb/softwareinfo/1109"," Game collection 3")</f>
        <v> Game collection 3</v>
      </c>
      <c r="B610" s="13"/>
      <c r="C610" s="13">
        <v>1988</v>
      </c>
      <c r="D610" s="13" t="s">
        <v>62</v>
      </c>
      <c r="E610" s="14" t="s">
        <v>79</v>
      </c>
      <c r="F610" s="14" t="s">
        <v>48</v>
      </c>
      <c r="G610" s="13" t="s">
        <v>18</v>
      </c>
    </row>
    <row r="611" spans="1:7" ht="12.75">
      <c r="A611" s="120" t="str">
        <f>HYPERLINK("http://www.generation-msx.nl/msxdb/softwareinfo/1110"," Game collection 4")</f>
        <v> Game collection 4</v>
      </c>
      <c r="B611" s="13"/>
      <c r="C611" s="13">
        <v>1988</v>
      </c>
      <c r="D611" s="13" t="s">
        <v>62</v>
      </c>
      <c r="E611" s="14" t="s">
        <v>79</v>
      </c>
      <c r="F611" s="14" t="s">
        <v>48</v>
      </c>
      <c r="G611" s="13" t="s">
        <v>18</v>
      </c>
    </row>
    <row r="612" spans="1:7" ht="12.75">
      <c r="A612" s="120" t="str">
        <f>HYPERLINK("http://www.generation-msx.nl/msxdb/softwareinfo/470"," Game Master")</f>
        <v> Game Master</v>
      </c>
      <c r="B612" s="13"/>
      <c r="C612" s="13">
        <v>1985</v>
      </c>
      <c r="D612" s="13" t="s">
        <v>62</v>
      </c>
      <c r="E612" s="14" t="s">
        <v>886</v>
      </c>
      <c r="F612" s="14" t="s">
        <v>21</v>
      </c>
      <c r="G612" s="13" t="s">
        <v>18</v>
      </c>
    </row>
    <row r="613" spans="1:7" ht="12.75">
      <c r="A613" s="120" t="str">
        <f>HYPERLINK("http://www.generation-msx.nl/msxdb/softwareinfo/937"," Game Master 2")</f>
        <v> Game Master 2</v>
      </c>
      <c r="B613" s="13"/>
      <c r="C613" s="13">
        <v>1987</v>
      </c>
      <c r="D613" s="13" t="s">
        <v>62</v>
      </c>
      <c r="E613" s="14" t="s">
        <v>886</v>
      </c>
      <c r="F613" s="14" t="s">
        <v>52</v>
      </c>
      <c r="G613" s="13" t="s">
        <v>18</v>
      </c>
    </row>
    <row r="614" spans="1:7" ht="12.75">
      <c r="A614" s="121" t="str">
        <f>HYPERLINK("http://www.generation-msx.nl/msxdb/softwareinfo/2130"," Game Over")</f>
        <v> Game Over</v>
      </c>
      <c r="B614" s="9"/>
      <c r="C614" s="9">
        <v>1988</v>
      </c>
      <c r="D614" s="9" t="s">
        <v>73</v>
      </c>
      <c r="E614" s="10" t="s">
        <v>9</v>
      </c>
      <c r="F614" s="10" t="s">
        <v>10</v>
      </c>
      <c r="G614" s="9" t="s">
        <v>11</v>
      </c>
    </row>
    <row r="615" spans="1:7" ht="12.75">
      <c r="A615" s="49" t="s">
        <v>887</v>
      </c>
      <c r="B615" s="123"/>
      <c r="C615" s="13">
        <v>1990</v>
      </c>
      <c r="D615" s="13" t="s">
        <v>102</v>
      </c>
      <c r="E615" s="14" t="s">
        <v>79</v>
      </c>
      <c r="F615" s="14" t="s">
        <v>21</v>
      </c>
      <c r="G615" s="13" t="s">
        <v>18</v>
      </c>
    </row>
    <row r="616" spans="1:7" ht="12.75">
      <c r="A616" s="121" t="str">
        <f>HYPERLINK("http://www.generation-msx.nl/msxdb/softwareinfo/3386"," Games designer")</f>
        <v> Games designer</v>
      </c>
      <c r="B616" s="9"/>
      <c r="C616" s="9">
        <v>1985</v>
      </c>
      <c r="D616" s="9" t="s">
        <v>333</v>
      </c>
      <c r="E616" s="26" t="s">
        <v>888</v>
      </c>
      <c r="F616" s="10" t="s">
        <v>102</v>
      </c>
      <c r="G616" s="9" t="s">
        <v>11</v>
      </c>
    </row>
    <row r="617" spans="1:7" ht="12.75">
      <c r="A617" s="121" t="str">
        <f>HYPERLINK("http://www.generation-msx.nl/msxdb/softwareinfo/2996"," Games Winter Edition")</f>
        <v> Games Winter Edition</v>
      </c>
      <c r="B617" s="9"/>
      <c r="C617" s="13">
        <v>1988</v>
      </c>
      <c r="D617" s="13" t="s">
        <v>37</v>
      </c>
      <c r="E617" s="14" t="s">
        <v>17</v>
      </c>
      <c r="F617" s="14" t="s">
        <v>10</v>
      </c>
      <c r="G617" s="13" t="s">
        <v>18</v>
      </c>
    </row>
    <row r="618" spans="1:7" ht="12.75">
      <c r="A618" s="120" t="str">
        <f>HYPERLINK("http://www.generation-msx.nl/msxdb/softwareinfo/143"," Gang Man")</f>
        <v> Gang Man</v>
      </c>
      <c r="B618" s="13"/>
      <c r="C618" s="13">
        <v>1983</v>
      </c>
      <c r="D618" s="13" t="s">
        <v>26</v>
      </c>
      <c r="E618" s="14" t="s">
        <v>24</v>
      </c>
      <c r="F618" s="14" t="s">
        <v>27</v>
      </c>
      <c r="G618" s="13" t="s">
        <v>18</v>
      </c>
    </row>
    <row r="619" spans="1:7" ht="12.75">
      <c r="A619" s="121" t="str">
        <f>HYPERLINK("http://www.generation-msx.nl/msxdb/softwareinfo/21"," Gang Master")</f>
        <v> Gang Master</v>
      </c>
      <c r="B619" s="9"/>
      <c r="C619" s="9">
        <v>1983</v>
      </c>
      <c r="D619" s="9" t="s">
        <v>23</v>
      </c>
      <c r="E619" s="10" t="s">
        <v>307</v>
      </c>
      <c r="F619" s="10" t="s">
        <v>21</v>
      </c>
      <c r="G619" s="9" t="s">
        <v>11</v>
      </c>
    </row>
    <row r="620" spans="1:7" ht="12.75">
      <c r="A620" s="36" t="s">
        <v>889</v>
      </c>
      <c r="B620" s="64"/>
      <c r="C620" s="13">
        <v>1987</v>
      </c>
      <c r="D620" s="13" t="s">
        <v>198</v>
      </c>
      <c r="E620" s="14" t="s">
        <v>17</v>
      </c>
      <c r="F620" s="14" t="s">
        <v>10</v>
      </c>
      <c r="G620" s="13" t="s">
        <v>18</v>
      </c>
    </row>
    <row r="621" spans="1:7" ht="12.75">
      <c r="A621" s="120" t="str">
        <f>HYPERLINK("http://www.generation-msx.nl/msxdb/softwareinfo/2904"," Gauntlet")</f>
        <v> Gauntlet</v>
      </c>
      <c r="B621" s="13"/>
      <c r="C621" s="13">
        <v>1985</v>
      </c>
      <c r="D621" s="13" t="s">
        <v>198</v>
      </c>
      <c r="E621" s="14" t="s">
        <v>291</v>
      </c>
      <c r="F621" s="14" t="s">
        <v>10</v>
      </c>
      <c r="G621" s="13" t="s">
        <v>18</v>
      </c>
    </row>
    <row r="622" spans="1:7" ht="12.75">
      <c r="A622" s="120" t="str">
        <f>HYPERLINK("http://www.konamito.com/ficha/?id=2195"," Gekiso battle")</f>
        <v> Gekiso battle</v>
      </c>
      <c r="B622" s="13"/>
      <c r="C622" s="13">
        <v>1991</v>
      </c>
      <c r="D622" s="13" t="s">
        <v>890</v>
      </c>
      <c r="E622" s="14" t="s">
        <v>58</v>
      </c>
      <c r="F622" s="14" t="s">
        <v>48</v>
      </c>
      <c r="G622" s="13" t="s">
        <v>18</v>
      </c>
    </row>
    <row r="623" spans="1:7" ht="12.75">
      <c r="A623" s="38" t="s">
        <v>891</v>
      </c>
      <c r="B623" s="39"/>
      <c r="C623" s="9" t="s">
        <v>102</v>
      </c>
      <c r="D623" s="9" t="s">
        <v>102</v>
      </c>
      <c r="E623" s="10" t="s">
        <v>9</v>
      </c>
      <c r="F623" s="10" t="s">
        <v>102</v>
      </c>
      <c r="G623" s="9" t="s">
        <v>11</v>
      </c>
    </row>
    <row r="624" spans="1:7" ht="12.75">
      <c r="A624" s="120" t="str">
        <f>HYPERLINK("http://www.generation-msx.nl/msxdb/softwareinfo/3328"," Gemini Wing")</f>
        <v> Gemini Wing</v>
      </c>
      <c r="B624" s="13"/>
      <c r="C624" s="13">
        <v>1988</v>
      </c>
      <c r="D624" s="13" t="s">
        <v>135</v>
      </c>
      <c r="E624" s="14" t="s">
        <v>24</v>
      </c>
      <c r="F624" s="14" t="s">
        <v>10</v>
      </c>
      <c r="G624" s="13" t="s">
        <v>11</v>
      </c>
    </row>
    <row r="625" spans="1:7" ht="12.75">
      <c r="A625" s="121" t="str">
        <f>HYPERLINK("http://www.generation-msx.nl/msxdb/softwareinfo/695"," Gengis Khan")</f>
        <v> Gengis Khan</v>
      </c>
      <c r="B625" s="9"/>
      <c r="C625" s="9">
        <v>1986</v>
      </c>
      <c r="D625" s="9" t="s">
        <v>892</v>
      </c>
      <c r="E625" s="10" t="s">
        <v>251</v>
      </c>
      <c r="F625" s="10" t="s">
        <v>893</v>
      </c>
      <c r="G625" s="9" t="s">
        <v>11</v>
      </c>
    </row>
    <row r="626" spans="1:7" ht="12.75">
      <c r="A626" s="120" t="str">
        <f>HYPERLINK("http://www.generation-msx.nl/msxdb/softwareinfo/2280"," Gengis Khan")</f>
        <v> Gengis Khan</v>
      </c>
      <c r="B626" s="13"/>
      <c r="C626" s="13">
        <v>1991</v>
      </c>
      <c r="D626" s="13" t="s">
        <v>91</v>
      </c>
      <c r="E626" s="14" t="s">
        <v>9</v>
      </c>
      <c r="F626" s="14" t="s">
        <v>10</v>
      </c>
      <c r="G626" s="13" t="s">
        <v>18</v>
      </c>
    </row>
    <row r="627" spans="1:7" ht="12.75">
      <c r="A627" s="38" t="s">
        <v>894</v>
      </c>
      <c r="B627" s="39"/>
      <c r="C627" s="9">
        <v>1990</v>
      </c>
      <c r="D627" s="9" t="s">
        <v>102</v>
      </c>
      <c r="E627" s="10" t="s">
        <v>43</v>
      </c>
      <c r="F627" s="10" t="s">
        <v>102</v>
      </c>
      <c r="G627" s="9" t="s">
        <v>11</v>
      </c>
    </row>
    <row r="628" spans="1:7" ht="12.75">
      <c r="A628" s="121" t="str">
        <f>HYPERLINK("http://www.generation-msx.nl/msxdb/softwareinfo/3296"," Geografia de Espana")</f>
        <v> Geografia de Espana</v>
      </c>
      <c r="B628" s="9"/>
      <c r="C628" s="9">
        <v>1985</v>
      </c>
      <c r="D628" s="9" t="s">
        <v>742</v>
      </c>
      <c r="E628" s="10" t="s">
        <v>67</v>
      </c>
      <c r="F628" s="10" t="s">
        <v>10</v>
      </c>
      <c r="G628" s="9" t="s">
        <v>11</v>
      </c>
    </row>
    <row r="629" spans="1:7" ht="12.75">
      <c r="A629" s="121" t="str">
        <f>HYPERLINK("http://www.generation-msx.nl/msxdb/softwareinfo/2269"," Geometrias")</f>
        <v> Geometrias</v>
      </c>
      <c r="B629" s="9"/>
      <c r="C629" s="9">
        <v>1985</v>
      </c>
      <c r="D629" s="9" t="s">
        <v>468</v>
      </c>
      <c r="E629" s="10" t="s">
        <v>58</v>
      </c>
      <c r="F629" s="10" t="s">
        <v>10</v>
      </c>
      <c r="G629" s="9" t="s">
        <v>11</v>
      </c>
    </row>
    <row r="630" spans="1:7" ht="12.75">
      <c r="A630" s="121" t="str">
        <f>HYPERLINK("http://www.generation-msx.nl/msxdb/softwareinfo/3252"," Gerente (el)")</f>
        <v> Gerente (el)</v>
      </c>
      <c r="B630" s="9"/>
      <c r="C630" s="9">
        <v>1984</v>
      </c>
      <c r="D630" s="9" t="s">
        <v>167</v>
      </c>
      <c r="E630" s="10" t="s">
        <v>43</v>
      </c>
      <c r="F630" s="10" t="s">
        <v>10</v>
      </c>
      <c r="G630" s="9" t="s">
        <v>11</v>
      </c>
    </row>
    <row r="631" spans="1:7" ht="12.75">
      <c r="A631" s="38" t="s">
        <v>895</v>
      </c>
      <c r="B631" s="39"/>
      <c r="C631" s="9" t="s">
        <v>102</v>
      </c>
      <c r="D631" s="9" t="s">
        <v>102</v>
      </c>
      <c r="E631" s="10" t="s">
        <v>275</v>
      </c>
      <c r="F631" s="10" t="s">
        <v>102</v>
      </c>
      <c r="G631" s="9" t="s">
        <v>11</v>
      </c>
    </row>
    <row r="632" spans="1:7" ht="12.75">
      <c r="A632" s="36" t="s">
        <v>896</v>
      </c>
      <c r="B632" s="64"/>
      <c r="C632" s="13">
        <v>1989</v>
      </c>
      <c r="D632" s="13" t="s">
        <v>897</v>
      </c>
      <c r="E632" s="14" t="s">
        <v>9</v>
      </c>
      <c r="F632" s="14" t="s">
        <v>102</v>
      </c>
      <c r="G632" s="13" t="s">
        <v>18</v>
      </c>
    </row>
    <row r="633" spans="1:7" ht="12.75">
      <c r="A633" s="120" t="str">
        <f>HYPERLINK("http://www.generation-msx.nl/msxdb/softwareinfo/2269"," Ghostbusters")</f>
        <v> Ghostbusters</v>
      </c>
      <c r="B633" s="13"/>
      <c r="C633" s="13">
        <v>1985</v>
      </c>
      <c r="D633" s="13" t="s">
        <v>109</v>
      </c>
      <c r="E633" s="14" t="s">
        <v>9</v>
      </c>
      <c r="F633" s="14" t="s">
        <v>27</v>
      </c>
      <c r="G633" s="13" t="s">
        <v>18</v>
      </c>
    </row>
    <row r="634" spans="1:7" ht="12.75">
      <c r="A634" s="120" t="str">
        <f>HYPERLINK("http://www.generation-msx.nl/msxdb/softwareinfo/3099"," Ghostbusters 2")</f>
        <v> Ghostbusters 2</v>
      </c>
      <c r="B634" s="13"/>
      <c r="C634" s="13">
        <v>1989</v>
      </c>
      <c r="D634" s="13" t="s">
        <v>898</v>
      </c>
      <c r="E634" s="14" t="s">
        <v>9</v>
      </c>
      <c r="F634" s="14" t="s">
        <v>10</v>
      </c>
      <c r="G634" s="13" t="s">
        <v>18</v>
      </c>
    </row>
    <row r="635" spans="1:7" ht="12.75">
      <c r="A635" s="38" t="s">
        <v>899</v>
      </c>
      <c r="B635" s="39"/>
      <c r="C635" s="9">
        <v>1985</v>
      </c>
      <c r="D635" s="9" t="s">
        <v>900</v>
      </c>
      <c r="E635" s="10" t="s">
        <v>55</v>
      </c>
      <c r="F635" s="10" t="s">
        <v>102</v>
      </c>
      <c r="G635" s="9" t="s">
        <v>11</v>
      </c>
    </row>
    <row r="636" spans="1:7" ht="12.75">
      <c r="A636" s="124" t="str">
        <f>HYPERLINK("http://www.generation-msx.nl/msxdb/softwareinfo/3125"," Glass")</f>
        <v> Glass</v>
      </c>
      <c r="B636" s="18"/>
      <c r="C636" s="9">
        <v>1985</v>
      </c>
      <c r="D636" s="9" t="s">
        <v>333</v>
      </c>
      <c r="E636" s="10" t="s">
        <v>9</v>
      </c>
      <c r="F636" s="10" t="s">
        <v>10</v>
      </c>
      <c r="G636" s="9" t="s">
        <v>11</v>
      </c>
    </row>
    <row r="637" spans="1:7" ht="12.75">
      <c r="A637" s="124" t="str">
        <f>HYPERLINK("http://www.generation-msx.nl/msxdb/softwareinfo/447"," Glider")</f>
        <v> Glider</v>
      </c>
      <c r="B637" s="18"/>
      <c r="C637" s="9">
        <v>1984</v>
      </c>
      <c r="D637" s="9" t="s">
        <v>803</v>
      </c>
      <c r="E637" s="10" t="s">
        <v>43</v>
      </c>
      <c r="F637" s="10" t="s">
        <v>21</v>
      </c>
      <c r="G637" s="9" t="s">
        <v>11</v>
      </c>
    </row>
    <row r="638" spans="1:7" ht="12.75">
      <c r="A638" s="120" t="str">
        <f>HYPERLINK("http://www.generation-msx.nl/msxdb/softwareinfo/2284"," Globy blod")</f>
        <v> Globy blod</v>
      </c>
      <c r="B638" s="13"/>
      <c r="C638" s="13">
        <v>1986</v>
      </c>
      <c r="D638" s="13" t="s">
        <v>901</v>
      </c>
      <c r="E638" s="14" t="s">
        <v>9</v>
      </c>
      <c r="F638" s="14" t="s">
        <v>10</v>
      </c>
      <c r="G638" s="13" t="s">
        <v>18</v>
      </c>
    </row>
    <row r="639" spans="1:7" ht="12.75">
      <c r="A639" s="93" t="s">
        <v>902</v>
      </c>
      <c r="B639" s="122"/>
      <c r="C639" s="9">
        <v>2004</v>
      </c>
      <c r="D639" s="9" t="s">
        <v>265</v>
      </c>
      <c r="E639" s="10" t="s">
        <v>207</v>
      </c>
      <c r="F639" s="10" t="s">
        <v>21</v>
      </c>
      <c r="G639" s="9" t="s">
        <v>11</v>
      </c>
    </row>
    <row r="640" spans="1:7" ht="12.75">
      <c r="A640" s="120" t="str">
        <f>HYPERLINK("http://www.generation-msx.nl/msxdb/softwareinfo/465"," Godzilla")</f>
        <v> Godzilla</v>
      </c>
      <c r="B640" s="13"/>
      <c r="C640" s="13">
        <v>1985</v>
      </c>
      <c r="D640" s="13" t="s">
        <v>903</v>
      </c>
      <c r="E640" s="14" t="s">
        <v>275</v>
      </c>
      <c r="F640" s="14" t="s">
        <v>21</v>
      </c>
      <c r="G640" s="13" t="s">
        <v>18</v>
      </c>
    </row>
    <row r="641" spans="1:7" ht="12.75">
      <c r="A641" s="120" t="str">
        <f>HYPERLINK("http://www.generation-msx.nl/msxdb/softwareinfo/1254"," Gofer no yabour - Nemesis 3")</f>
        <v> Gofer no yabour - Nemesis 3</v>
      </c>
      <c r="B641" s="13"/>
      <c r="C641" s="13">
        <v>1988</v>
      </c>
      <c r="D641" s="13" t="s">
        <v>62</v>
      </c>
      <c r="E641" s="14" t="s">
        <v>24</v>
      </c>
      <c r="F641" s="14" t="s">
        <v>52</v>
      </c>
      <c r="G641" s="13" t="s">
        <v>18</v>
      </c>
    </row>
    <row r="642" spans="1:7" ht="12.75">
      <c r="A642" s="121" t="str">
        <f>HYPERLINK("http://www.generation-msx.nl/msxdb/softwareinfo/26"," Gokiburi Daisakusen-Bug Bomb")</f>
        <v> Gokiburi Daisakusen-Bug Bomb</v>
      </c>
      <c r="B642" s="9"/>
      <c r="C642" s="9">
        <v>1983</v>
      </c>
      <c r="D642" s="9" t="s">
        <v>517</v>
      </c>
      <c r="E642" s="10" t="s">
        <v>9</v>
      </c>
      <c r="F642" s="10" t="s">
        <v>21</v>
      </c>
      <c r="G642" s="9" t="s">
        <v>11</v>
      </c>
    </row>
    <row r="643" spans="1:7" ht="12.75">
      <c r="A643" s="38" t="s">
        <v>904</v>
      </c>
      <c r="B643" s="39"/>
      <c r="C643" s="9">
        <v>1989</v>
      </c>
      <c r="D643" s="9" t="s">
        <v>905</v>
      </c>
      <c r="E643" s="10" t="s">
        <v>43</v>
      </c>
      <c r="F643" s="10" t="s">
        <v>102</v>
      </c>
      <c r="G643" s="9" t="s">
        <v>11</v>
      </c>
    </row>
    <row r="644" spans="1:7" ht="12.75">
      <c r="A644" s="121" t="str">
        <f>HYPERLINK("http://www.generation-msx.nl/msxdb/softwareinfo/2245"," Golden Basket")</f>
        <v> Golden Basket</v>
      </c>
      <c r="B644" s="9"/>
      <c r="C644" s="9">
        <v>1990</v>
      </c>
      <c r="D644" s="9" t="s">
        <v>69</v>
      </c>
      <c r="E644" s="10" t="s">
        <v>17</v>
      </c>
      <c r="F644" s="10" t="s">
        <v>10</v>
      </c>
      <c r="G644" s="9" t="s">
        <v>11</v>
      </c>
    </row>
    <row r="645" spans="1:7" ht="12.75">
      <c r="A645" s="38" t="s">
        <v>906</v>
      </c>
      <c r="B645" s="39"/>
      <c r="C645" s="9">
        <v>1995</v>
      </c>
      <c r="D645" s="9" t="s">
        <v>780</v>
      </c>
      <c r="E645" s="10" t="s">
        <v>9</v>
      </c>
      <c r="F645" s="10" t="s">
        <v>102</v>
      </c>
      <c r="G645" s="9" t="s">
        <v>11</v>
      </c>
    </row>
    <row r="646" spans="1:7" ht="12.75">
      <c r="A646" s="120" t="str">
        <f>HYPERLINK("http://www.generation-msx.nl/msxdb/softwareinfo/29"," Golf Game")</f>
        <v> Golf Game</v>
      </c>
      <c r="B646" s="13"/>
      <c r="C646" s="13">
        <v>1983</v>
      </c>
      <c r="D646" s="13" t="s">
        <v>23</v>
      </c>
      <c r="E646" s="14" t="s">
        <v>17</v>
      </c>
      <c r="F646" s="14" t="s">
        <v>21</v>
      </c>
      <c r="G646" s="13" t="s">
        <v>18</v>
      </c>
    </row>
    <row r="647" spans="1:7" ht="12.75">
      <c r="A647" s="121" t="str">
        <f>HYPERLINK("http://www.generation-msx.nl/msxdb/softwareinfo/157"," Golf Kyou- 3D Golf- Golf Crazy")</f>
        <v> Golf Kyou- 3D Golf- Golf Crazy</v>
      </c>
      <c r="B647" s="9"/>
      <c r="C647" s="122" t="s">
        <v>907</v>
      </c>
      <c r="D647" s="9" t="s">
        <v>26</v>
      </c>
      <c r="E647" s="10" t="s">
        <v>17</v>
      </c>
      <c r="F647" s="10" t="s">
        <v>21</v>
      </c>
      <c r="G647" s="9" t="s">
        <v>11</v>
      </c>
    </row>
    <row r="648" spans="1:7" ht="12.75">
      <c r="A648" s="38" t="s">
        <v>908</v>
      </c>
      <c r="B648" s="39"/>
      <c r="C648" s="9">
        <v>1986</v>
      </c>
      <c r="D648" s="9" t="s">
        <v>311</v>
      </c>
      <c r="E648" s="10" t="s">
        <v>17</v>
      </c>
      <c r="F648" s="10" t="s">
        <v>102</v>
      </c>
      <c r="G648" s="9" t="s">
        <v>11</v>
      </c>
    </row>
    <row r="649" spans="1:7" ht="12.75">
      <c r="A649" s="121" t="str">
        <f>HYPERLINK("http://www.generation-msx.nl/msxdb/softwareinfo/478"," Golgo 13 - Wolf's Nest")</f>
        <v> Golgo 13 - Wolf's Nest</v>
      </c>
      <c r="B649" s="9"/>
      <c r="C649" s="9">
        <v>1984</v>
      </c>
      <c r="D649" s="9" t="s">
        <v>128</v>
      </c>
      <c r="E649" s="10" t="s">
        <v>55</v>
      </c>
      <c r="F649" s="10" t="s">
        <v>27</v>
      </c>
      <c r="G649" s="9" t="s">
        <v>11</v>
      </c>
    </row>
    <row r="650" spans="1:7" ht="12.75">
      <c r="A650" s="120" t="str">
        <f>HYPERLINK("http://www.generation-msx.nl/msxdb/softwareinfo/1016"," Golvellius")</f>
        <v> Golvellius</v>
      </c>
      <c r="B650" s="13"/>
      <c r="C650" s="13">
        <v>1987</v>
      </c>
      <c r="D650" s="13" t="s">
        <v>820</v>
      </c>
      <c r="E650" s="14" t="s">
        <v>291</v>
      </c>
      <c r="F650" s="14" t="s">
        <v>52</v>
      </c>
      <c r="G650" s="13" t="s">
        <v>18</v>
      </c>
    </row>
    <row r="651" spans="1:7" ht="12.75">
      <c r="A651" s="120" t="str">
        <f>HYPERLINK("http://www.generation-msx.nl/msxdb/softwareinfo/156"," Gomoku Narabe")</f>
        <v> Gomoku Narabe</v>
      </c>
      <c r="B651" s="13"/>
      <c r="C651" s="13">
        <v>1984</v>
      </c>
      <c r="D651" s="13" t="s">
        <v>459</v>
      </c>
      <c r="E651" s="14" t="s">
        <v>207</v>
      </c>
      <c r="F651" s="14" t="s">
        <v>21</v>
      </c>
      <c r="G651" s="13" t="s">
        <v>18</v>
      </c>
    </row>
    <row r="652" spans="1:7" ht="12.75">
      <c r="A652" s="124" t="str">
        <f>HYPERLINK("http://www.generation-msx.nl/msxdb/softwareinfo/2246"," Gonzalezz")</f>
        <v> Gonzalezz</v>
      </c>
      <c r="B652" s="18"/>
      <c r="C652" s="18">
        <v>1989</v>
      </c>
      <c r="D652" s="18" t="s">
        <v>69</v>
      </c>
      <c r="E652" s="19" t="s">
        <v>51</v>
      </c>
      <c r="F652" s="19" t="s">
        <v>10</v>
      </c>
      <c r="G652" s="18" t="s">
        <v>11</v>
      </c>
    </row>
    <row r="653" spans="1:7" ht="12.75">
      <c r="A653" s="120" t="str">
        <f>HYPERLINK("http://www.generation-msx.nl/msxdb/softwareinfo/2247"," Goody")</f>
        <v> Goody</v>
      </c>
      <c r="B653" s="13"/>
      <c r="C653" s="13">
        <v>1987</v>
      </c>
      <c r="D653" s="13" t="s">
        <v>69</v>
      </c>
      <c r="E653" s="14" t="s">
        <v>51</v>
      </c>
      <c r="F653" s="14" t="s">
        <v>10</v>
      </c>
      <c r="G653" s="13" t="s">
        <v>18</v>
      </c>
    </row>
    <row r="654" spans="1:7" ht="12.75">
      <c r="A654" s="120" t="str">
        <f>HYPERLINK("http://www.generation-msx.nl/msxdb/softwareinfo/741"," Goonies")</f>
        <v> Goonies</v>
      </c>
      <c r="B654" s="13"/>
      <c r="C654" s="13">
        <v>1986</v>
      </c>
      <c r="D654" s="13" t="s">
        <v>62</v>
      </c>
      <c r="E654" s="14" t="s">
        <v>51</v>
      </c>
      <c r="F654" s="14" t="s">
        <v>21</v>
      </c>
      <c r="G654" s="13" t="s">
        <v>18</v>
      </c>
    </row>
    <row r="655" spans="1:7" ht="12.75">
      <c r="A655" s="120" t="str">
        <f>HYPERLINK("http://www.generation-msx.nl/msxdb/softwareinfo/153"," Godzilla vs 3 major monsters")</f>
        <v> Godzilla vs 3 major monsters</v>
      </c>
      <c r="B655" s="13"/>
      <c r="C655" s="13">
        <v>1984</v>
      </c>
      <c r="D655" s="13" t="s">
        <v>277</v>
      </c>
      <c r="E655" s="14" t="s">
        <v>9</v>
      </c>
      <c r="F655" s="14" t="s">
        <v>21</v>
      </c>
      <c r="G655" s="13" t="s">
        <v>18</v>
      </c>
    </row>
    <row r="656" spans="1:7" ht="12.75">
      <c r="A656" s="120" t="str">
        <f>HYPERLINK("http://www.generation-msx.nl/msxdb/softwareinfo/496"," G.P World")</f>
        <v> G.P World</v>
      </c>
      <c r="B656" s="13"/>
      <c r="C656" s="13">
        <v>1985</v>
      </c>
      <c r="D656" s="13" t="s">
        <v>227</v>
      </c>
      <c r="E656" s="14" t="s">
        <v>17</v>
      </c>
      <c r="F656" s="14" t="s">
        <v>21</v>
      </c>
      <c r="G656" s="13" t="s">
        <v>18</v>
      </c>
    </row>
    <row r="657" spans="1:7" ht="12.75">
      <c r="A657" s="120" t="str">
        <f>HYPERLINK("http://www.generation-msx.nl/msxdb/softwareinfo/742"," Gradius - Nemesis")</f>
        <v> Gradius - Nemesis</v>
      </c>
      <c r="B657" s="13"/>
      <c r="C657" s="13">
        <v>1986</v>
      </c>
      <c r="D657" s="13" t="s">
        <v>62</v>
      </c>
      <c r="E657" s="14" t="s">
        <v>24</v>
      </c>
      <c r="F657" s="14" t="s">
        <v>52</v>
      </c>
      <c r="G657" s="13" t="s">
        <v>18</v>
      </c>
    </row>
    <row r="658" spans="1:7" ht="12.75">
      <c r="A658" s="120" t="str">
        <f>HYPERLINK("http://www.generation-msx.nl/msxdb/softwareinfo/932"," Gradius 2 - Nemesis 2")</f>
        <v> Gradius 2 - Nemesis 2</v>
      </c>
      <c r="B658" s="13"/>
      <c r="C658" s="13">
        <v>1987</v>
      </c>
      <c r="D658" s="13" t="s">
        <v>62</v>
      </c>
      <c r="E658" s="14" t="s">
        <v>24</v>
      </c>
      <c r="F658" s="14" t="s">
        <v>52</v>
      </c>
      <c r="G658" s="13" t="s">
        <v>18</v>
      </c>
    </row>
    <row r="659" spans="1:7" ht="12.75">
      <c r="A659" s="120" t="str">
        <f>HYPERLINK("http://www.generation-msx.nl/msxdb/softwareinfo/3091"," Green Beret")</f>
        <v> Green Beret</v>
      </c>
      <c r="B659" s="13"/>
      <c r="C659" s="13">
        <v>1986</v>
      </c>
      <c r="D659" s="13" t="s">
        <v>62</v>
      </c>
      <c r="E659" s="14" t="s">
        <v>9</v>
      </c>
      <c r="F659" s="14" t="s">
        <v>27</v>
      </c>
      <c r="G659" s="13" t="s">
        <v>18</v>
      </c>
    </row>
    <row r="660" spans="1:7" ht="12.75">
      <c r="A660" s="121" t="str">
        <f>HYPERLINK("http://www.generation-msx.nl/msxdb/softwareinfo/2325"," Gremlins 2")</f>
        <v> Gremlins 2</v>
      </c>
      <c r="B660" s="9"/>
      <c r="C660" s="9">
        <v>1990</v>
      </c>
      <c r="D660" s="9" t="s">
        <v>113</v>
      </c>
      <c r="E660" s="10" t="s">
        <v>9</v>
      </c>
      <c r="F660" s="10" t="s">
        <v>10</v>
      </c>
      <c r="G660" s="9" t="s">
        <v>11</v>
      </c>
    </row>
    <row r="661" spans="1:7" ht="12.75">
      <c r="A661" s="121" t="str">
        <f>HYPERLINK("http://www.generation-msx.nl/msxdb/softwareinfo/3322"," Grid trap")</f>
        <v> Grid trap</v>
      </c>
      <c r="B661" s="9"/>
      <c r="C661" s="9">
        <v>1985</v>
      </c>
      <c r="D661" s="9" t="s">
        <v>404</v>
      </c>
      <c r="E661" s="10" t="s">
        <v>307</v>
      </c>
      <c r="F661" s="10" t="s">
        <v>10</v>
      </c>
      <c r="G661" s="9" t="s">
        <v>11</v>
      </c>
    </row>
    <row r="662" spans="1:7" ht="12.75">
      <c r="A662" s="120" t="str">
        <f>HYPERLINK("http://karoshi.auic.es/index.php?topic=906,0"," Griel's quest for the sangraal")</f>
        <v> Griel's quest for the sangraal</v>
      </c>
      <c r="B662" s="13"/>
      <c r="C662" s="13">
        <v>2005</v>
      </c>
      <c r="D662" s="13" t="s">
        <v>503</v>
      </c>
      <c r="E662" s="14" t="s">
        <v>307</v>
      </c>
      <c r="F662" s="14" t="s">
        <v>21</v>
      </c>
      <c r="G662" s="13" t="s">
        <v>18</v>
      </c>
    </row>
    <row r="663" spans="1:7" ht="12.75">
      <c r="A663" s="38" t="s">
        <v>909</v>
      </c>
      <c r="B663" s="39"/>
      <c r="C663" s="9" t="s">
        <v>102</v>
      </c>
      <c r="D663" s="9" t="s">
        <v>102</v>
      </c>
      <c r="E663" s="10" t="s">
        <v>40</v>
      </c>
      <c r="F663" s="10" t="s">
        <v>102</v>
      </c>
      <c r="G663" s="9" t="s">
        <v>11</v>
      </c>
    </row>
    <row r="664" spans="1:7" ht="12.75">
      <c r="A664" s="120" t="str">
        <f>HYPERLINK("http://www.generation-msx.nl/msxdb/softwareinfo/726"," Guardic")</f>
        <v> Guardic</v>
      </c>
      <c r="B664" s="13"/>
      <c r="C664" s="13">
        <v>1986</v>
      </c>
      <c r="D664" s="13" t="s">
        <v>820</v>
      </c>
      <c r="E664" s="14" t="s">
        <v>24</v>
      </c>
      <c r="F664" s="14" t="s">
        <v>21</v>
      </c>
      <c r="G664" s="13" t="s">
        <v>18</v>
      </c>
    </row>
    <row r="665" spans="1:7" ht="12.75">
      <c r="A665" s="125" t="str">
        <f>HYPERLINK("http://www.generation-msx.nl/msxdb/softwareinfo/2249"," Guillermo Tell")</f>
        <v> Guillermo Tell</v>
      </c>
      <c r="B665" s="126"/>
      <c r="C665" s="126">
        <v>1989</v>
      </c>
      <c r="D665" s="126" t="s">
        <v>69</v>
      </c>
      <c r="E665" s="54" t="s">
        <v>275</v>
      </c>
      <c r="F665" s="54" t="s">
        <v>10</v>
      </c>
      <c r="G665" s="126" t="s">
        <v>361</v>
      </c>
    </row>
    <row r="666" spans="1:7" ht="12.75">
      <c r="A666" s="120" t="str">
        <f>HYPERLINK("http://www.generation-msx.nl/msxdb/softwareinfo/732"," Gulkave")</f>
        <v> Gulkave</v>
      </c>
      <c r="B666" s="13"/>
      <c r="C666" s="13">
        <v>1986</v>
      </c>
      <c r="D666" s="13" t="s">
        <v>227</v>
      </c>
      <c r="E666" s="14" t="s">
        <v>24</v>
      </c>
      <c r="F666" s="14" t="s">
        <v>21</v>
      </c>
      <c r="G666" s="13" t="s">
        <v>18</v>
      </c>
    </row>
    <row r="667" spans="1:7" ht="12.75">
      <c r="A667" s="38" t="s">
        <v>910</v>
      </c>
      <c r="B667" s="39"/>
      <c r="C667" s="9">
        <v>1985</v>
      </c>
      <c r="D667" s="9" t="s">
        <v>911</v>
      </c>
      <c r="E667" s="10" t="s">
        <v>55</v>
      </c>
      <c r="F667" s="10" t="s">
        <v>102</v>
      </c>
      <c r="G667" s="9" t="s">
        <v>11</v>
      </c>
    </row>
    <row r="668" spans="1:7" ht="12.75">
      <c r="A668" s="120" t="str">
        <f>HYPERLINK("http://www.generation-msx.nl/msxdb/softwareinfo/735"," Gun Fright")</f>
        <v> Gun Fright</v>
      </c>
      <c r="B668" s="13"/>
      <c r="C668" s="13">
        <v>1985</v>
      </c>
      <c r="D668" s="127" t="s">
        <v>119</v>
      </c>
      <c r="E668" s="14" t="s">
        <v>9</v>
      </c>
      <c r="F668" s="14" t="s">
        <v>27</v>
      </c>
      <c r="G668" s="13" t="s">
        <v>18</v>
      </c>
    </row>
    <row r="669" spans="1:7" ht="12.75">
      <c r="A669" s="121" t="str">
        <f>HYPERLINK("http://www.generation-msx.nl/msxdb/softwareinfo/746"," Gunjin Shogi Mars")</f>
        <v> Gunjin Shogi Mars</v>
      </c>
      <c r="B669" s="9"/>
      <c r="C669" s="9">
        <v>1985</v>
      </c>
      <c r="D669" s="9" t="s">
        <v>912</v>
      </c>
      <c r="E669" s="10" t="s">
        <v>207</v>
      </c>
      <c r="F669" s="10" t="s">
        <v>21</v>
      </c>
      <c r="G669" s="9" t="s">
        <v>11</v>
      </c>
    </row>
    <row r="670" spans="1:7" ht="12.75">
      <c r="A670" s="51" t="s">
        <v>913</v>
      </c>
      <c r="B670" s="52"/>
      <c r="C670" s="126">
        <v>1993</v>
      </c>
      <c r="D670" s="126" t="s">
        <v>828</v>
      </c>
      <c r="E670" s="54" t="s">
        <v>102</v>
      </c>
      <c r="F670" s="54" t="s">
        <v>102</v>
      </c>
      <c r="G670" s="126" t="s">
        <v>361</v>
      </c>
    </row>
    <row r="671" spans="1:7" ht="12.75">
      <c r="A671" s="120" t="str">
        <f>HYPERLINK("http://karoshi.auic.es/index.php?topic=825.0"," Guru Logic")</f>
        <v> Guru Logic</v>
      </c>
      <c r="B671" s="13"/>
      <c r="C671" s="13">
        <v>2003</v>
      </c>
      <c r="D671" s="13" t="s">
        <v>503</v>
      </c>
      <c r="E671" s="14" t="s">
        <v>307</v>
      </c>
      <c r="F671" s="14" t="s">
        <v>21</v>
      </c>
      <c r="G671" s="13" t="s">
        <v>18</v>
      </c>
    </row>
    <row r="672" spans="1:7" ht="12.75">
      <c r="A672" s="121" t="str">
        <f>HYPERLINK("http://www.generation-msx.nl/msxdb/softwareinfo/3297"," Gusano")</f>
        <v> Gusano</v>
      </c>
      <c r="B672" s="9"/>
      <c r="C672" s="9">
        <v>1985</v>
      </c>
      <c r="D672" s="9" t="s">
        <v>742</v>
      </c>
      <c r="E672" s="10" t="s">
        <v>275</v>
      </c>
      <c r="F672" s="10" t="s">
        <v>10</v>
      </c>
      <c r="G672" s="9" t="s">
        <v>11</v>
      </c>
    </row>
    <row r="673" spans="1:7" ht="12.75">
      <c r="A673" s="120" t="str">
        <f>HYPERLINK("http://www.generation-msx.nl/msxdb/softwareinfo/2450"," Guttblaster")</f>
        <v> Guttblaster</v>
      </c>
      <c r="B673" s="13"/>
      <c r="C673" s="13">
        <v>1988</v>
      </c>
      <c r="D673" s="13" t="s">
        <v>177</v>
      </c>
      <c r="E673" s="14" t="s">
        <v>24</v>
      </c>
      <c r="F673" s="14" t="s">
        <v>178</v>
      </c>
      <c r="G673" s="13" t="s">
        <v>18</v>
      </c>
    </row>
    <row r="674" spans="1:7" ht="12.75">
      <c r="A674" s="121" t="str">
        <f>HYPERLINK("http://www.generation-msx.nl/msxdb/softwareinfo/500"," Gyro Adventure")</f>
        <v> Gyro Adventure</v>
      </c>
      <c r="B674" s="18" t="str">
        <f>HYPERLINK("http://www.generation-msx.nl/msxdb/softwareinfo/500"," Lien")</f>
        <v> Lien</v>
      </c>
      <c r="C674" s="9">
        <v>1984</v>
      </c>
      <c r="D674" s="9" t="s">
        <v>317</v>
      </c>
      <c r="E674" s="10" t="s">
        <v>24</v>
      </c>
      <c r="F674" s="10" t="s">
        <v>10</v>
      </c>
      <c r="G674" s="9" t="s">
        <v>11</v>
      </c>
    </row>
    <row r="675" spans="1:7" ht="12.75">
      <c r="A675" s="120" t="s">
        <v>914</v>
      </c>
      <c r="B675" s="13" t="str">
        <f>HYPERLINK("http://www.generation-msx.nl/msxdb/softwareinfo/762"," Lien")</f>
        <v> Lien</v>
      </c>
      <c r="C675" s="13">
        <v>1986</v>
      </c>
      <c r="D675" s="13" t="s">
        <v>169</v>
      </c>
      <c r="E675" s="14" t="s">
        <v>24</v>
      </c>
      <c r="F675" s="14" t="s">
        <v>21</v>
      </c>
      <c r="G675" s="13" t="s">
        <v>18</v>
      </c>
    </row>
    <row r="676" spans="1:7" ht="12.75">
      <c r="A676" s="120" t="s">
        <v>915</v>
      </c>
      <c r="B676" s="13" t="str">
        <f>HYPERLINK("http://www.generation-msx.nl/msxdb/softwareinfo/282"," Lien")</f>
        <v> Lien</v>
      </c>
      <c r="C676" s="13">
        <v>1984</v>
      </c>
      <c r="D676" s="13" t="s">
        <v>109</v>
      </c>
      <c r="E676" s="14" t="s">
        <v>9</v>
      </c>
      <c r="F676" s="14" t="s">
        <v>27</v>
      </c>
      <c r="G676" s="13" t="s">
        <v>18</v>
      </c>
    </row>
    <row r="677" spans="1:7" ht="12.75">
      <c r="A677" s="36" t="s">
        <v>916</v>
      </c>
      <c r="B677" s="13" t="str">
        <f>HYPERLINK("http://www.generation-msx.nl/msxdb/softwareinfo/2177"," Lien")</f>
        <v> Lien</v>
      </c>
      <c r="C677" s="13">
        <v>1988</v>
      </c>
      <c r="D677" s="13" t="s">
        <v>634</v>
      </c>
      <c r="E677" s="14" t="s">
        <v>307</v>
      </c>
      <c r="F677" s="14" t="s">
        <v>10</v>
      </c>
      <c r="G677" s="13" t="s">
        <v>18</v>
      </c>
    </row>
    <row r="678" spans="1:256" ht="12.75">
      <c r="A678" s="17" t="s">
        <v>917</v>
      </c>
      <c r="B678" s="18" t="str">
        <f>HYPERLINK("http://www.generation-msx.nl/msxdb/softwareinfo/2289"," Lien")</f>
        <v> Lien</v>
      </c>
      <c r="C678" s="128">
        <v>1985</v>
      </c>
      <c r="D678" s="128" t="s">
        <v>206</v>
      </c>
      <c r="E678" s="129" t="s">
        <v>307</v>
      </c>
      <c r="F678" s="129" t="s">
        <v>10</v>
      </c>
      <c r="G678" s="128" t="s">
        <v>11</v>
      </c>
      <c r="H678" s="130" t="s">
        <v>918</v>
      </c>
      <c r="I678" s="131" t="str">
        <f>HYPERLINK("http://www.generation-msx.nl/msxdb/softwareinfo/272"," Lien")</f>
        <v> Lien</v>
      </c>
      <c r="J678" s="131">
        <v>1984</v>
      </c>
      <c r="K678" s="131" t="s">
        <v>919</v>
      </c>
      <c r="L678" s="131" t="s">
        <v>17</v>
      </c>
      <c r="M678" s="131" t="s">
        <v>21</v>
      </c>
      <c r="N678" s="131" t="s">
        <v>18</v>
      </c>
      <c r="O678" s="130" t="s">
        <v>918</v>
      </c>
      <c r="P678" s="131" t="str">
        <f>HYPERLINK("http://www.generation-msx.nl/msxdb/softwareinfo/272"," Lien")</f>
        <v> Lien</v>
      </c>
      <c r="Q678" s="131">
        <v>1984</v>
      </c>
      <c r="R678" s="131" t="s">
        <v>919</v>
      </c>
      <c r="S678" s="131" t="s">
        <v>17</v>
      </c>
      <c r="T678" s="131" t="s">
        <v>21</v>
      </c>
      <c r="U678" s="131" t="s">
        <v>18</v>
      </c>
      <c r="V678" s="130" t="s">
        <v>918</v>
      </c>
      <c r="W678" s="131" t="str">
        <f>HYPERLINK("http://www.generation-msx.nl/msxdb/softwareinfo/272"," Lien")</f>
        <v> Lien</v>
      </c>
      <c r="X678" s="131">
        <v>1984</v>
      </c>
      <c r="Y678" s="131" t="s">
        <v>919</v>
      </c>
      <c r="Z678" s="131" t="s">
        <v>17</v>
      </c>
      <c r="AA678" s="131" t="s">
        <v>21</v>
      </c>
      <c r="AB678" s="131" t="s">
        <v>18</v>
      </c>
      <c r="AC678" s="130" t="s">
        <v>918</v>
      </c>
      <c r="AD678" s="131" t="str">
        <f>HYPERLINK("http://www.generation-msx.nl/msxdb/softwareinfo/272"," Lien")</f>
        <v> Lien</v>
      </c>
      <c r="AE678" s="131">
        <v>1984</v>
      </c>
      <c r="AF678" s="131" t="s">
        <v>919</v>
      </c>
      <c r="AG678" s="131" t="s">
        <v>17</v>
      </c>
      <c r="AH678" s="131" t="s">
        <v>21</v>
      </c>
      <c r="AI678" s="131" t="s">
        <v>18</v>
      </c>
      <c r="AJ678" s="130" t="s">
        <v>918</v>
      </c>
      <c r="AK678" s="131" t="str">
        <f>HYPERLINK("http://www.generation-msx.nl/msxdb/softwareinfo/272"," Lien")</f>
        <v> Lien</v>
      </c>
      <c r="AL678" s="131">
        <v>1984</v>
      </c>
      <c r="AM678" s="131" t="s">
        <v>919</v>
      </c>
      <c r="AN678" s="131" t="s">
        <v>17</v>
      </c>
      <c r="AO678" s="131" t="s">
        <v>21</v>
      </c>
      <c r="AP678" s="131" t="s">
        <v>18</v>
      </c>
      <c r="AQ678" s="130" t="s">
        <v>918</v>
      </c>
      <c r="AR678" s="131" t="str">
        <f>HYPERLINK("http://www.generation-msx.nl/msxdb/softwareinfo/272"," Lien")</f>
        <v> Lien</v>
      </c>
      <c r="AS678" s="131">
        <v>1984</v>
      </c>
      <c r="AT678" s="131" t="s">
        <v>919</v>
      </c>
      <c r="AU678" s="131" t="s">
        <v>17</v>
      </c>
      <c r="AV678" s="131" t="s">
        <v>21</v>
      </c>
      <c r="AW678" s="131" t="s">
        <v>18</v>
      </c>
      <c r="AX678" s="130" t="s">
        <v>918</v>
      </c>
      <c r="AY678" s="131" t="str">
        <f>HYPERLINK("http://www.generation-msx.nl/msxdb/softwareinfo/272"," Lien")</f>
        <v> Lien</v>
      </c>
      <c r="AZ678" s="131">
        <v>1984</v>
      </c>
      <c r="BA678" s="131" t="s">
        <v>919</v>
      </c>
      <c r="BB678" s="131" t="s">
        <v>17</v>
      </c>
      <c r="BC678" s="131" t="s">
        <v>21</v>
      </c>
      <c r="BD678" s="131" t="s">
        <v>18</v>
      </c>
      <c r="BE678" s="130" t="s">
        <v>918</v>
      </c>
      <c r="BF678" s="131" t="str">
        <f>HYPERLINK("http://www.generation-msx.nl/msxdb/softwareinfo/272"," Lien")</f>
        <v> Lien</v>
      </c>
      <c r="BG678" s="131">
        <v>1984</v>
      </c>
      <c r="BH678" s="131" t="s">
        <v>919</v>
      </c>
      <c r="BI678" s="131" t="s">
        <v>17</v>
      </c>
      <c r="BJ678" s="131" t="s">
        <v>21</v>
      </c>
      <c r="BK678" s="131" t="s">
        <v>18</v>
      </c>
      <c r="BL678" s="130" t="s">
        <v>918</v>
      </c>
      <c r="BM678" s="131" t="str">
        <f>HYPERLINK("http://www.generation-msx.nl/msxdb/softwareinfo/272"," Lien")</f>
        <v> Lien</v>
      </c>
      <c r="BN678" s="131">
        <v>1984</v>
      </c>
      <c r="BO678" s="131" t="s">
        <v>919</v>
      </c>
      <c r="BP678" s="131" t="s">
        <v>17</v>
      </c>
      <c r="BQ678" s="131" t="s">
        <v>21</v>
      </c>
      <c r="BR678" s="131" t="s">
        <v>18</v>
      </c>
      <c r="BS678" s="130" t="s">
        <v>918</v>
      </c>
      <c r="BT678" s="131" t="str">
        <f>HYPERLINK("http://www.generation-msx.nl/msxdb/softwareinfo/272"," Lien")</f>
        <v> Lien</v>
      </c>
      <c r="BU678" s="131">
        <v>1984</v>
      </c>
      <c r="BV678" s="131" t="s">
        <v>919</v>
      </c>
      <c r="BW678" s="131" t="s">
        <v>17</v>
      </c>
      <c r="BX678" s="131" t="s">
        <v>21</v>
      </c>
      <c r="BY678" s="131" t="s">
        <v>18</v>
      </c>
      <c r="BZ678" s="130" t="s">
        <v>918</v>
      </c>
      <c r="CA678" s="131" t="str">
        <f>HYPERLINK("http://www.generation-msx.nl/msxdb/softwareinfo/272"," Lien")</f>
        <v> Lien</v>
      </c>
      <c r="CB678" s="131">
        <v>1984</v>
      </c>
      <c r="CC678" s="131" t="s">
        <v>919</v>
      </c>
      <c r="CD678" s="131" t="s">
        <v>17</v>
      </c>
      <c r="CE678" s="131" t="s">
        <v>21</v>
      </c>
      <c r="CF678" s="131" t="s">
        <v>18</v>
      </c>
      <c r="CG678" s="130" t="s">
        <v>918</v>
      </c>
      <c r="CH678" s="131" t="str">
        <f>HYPERLINK("http://www.generation-msx.nl/msxdb/softwareinfo/272"," Lien")</f>
        <v> Lien</v>
      </c>
      <c r="CI678" s="131">
        <v>1984</v>
      </c>
      <c r="CJ678" s="131" t="s">
        <v>919</v>
      </c>
      <c r="CK678" s="131" t="s">
        <v>17</v>
      </c>
      <c r="CL678" s="131" t="s">
        <v>21</v>
      </c>
      <c r="CM678" s="131" t="s">
        <v>18</v>
      </c>
      <c r="CN678" s="130" t="s">
        <v>918</v>
      </c>
      <c r="CO678" s="131" t="str">
        <f>HYPERLINK("http://www.generation-msx.nl/msxdb/softwareinfo/272"," Lien")</f>
        <v> Lien</v>
      </c>
      <c r="CP678" s="131">
        <v>1984</v>
      </c>
      <c r="CQ678" s="131" t="s">
        <v>919</v>
      </c>
      <c r="CR678" s="131" t="s">
        <v>17</v>
      </c>
      <c r="CS678" s="131" t="s">
        <v>21</v>
      </c>
      <c r="CT678" s="131" t="s">
        <v>18</v>
      </c>
      <c r="CU678" s="130" t="s">
        <v>918</v>
      </c>
      <c r="CV678" s="131" t="str">
        <f>HYPERLINK("http://www.generation-msx.nl/msxdb/softwareinfo/272"," Lien")</f>
        <v> Lien</v>
      </c>
      <c r="CW678" s="131">
        <v>1984</v>
      </c>
      <c r="CX678" s="131" t="s">
        <v>919</v>
      </c>
      <c r="CY678" s="131" t="s">
        <v>17</v>
      </c>
      <c r="CZ678" s="131" t="s">
        <v>21</v>
      </c>
      <c r="DA678" s="131" t="s">
        <v>18</v>
      </c>
      <c r="DB678" s="130" t="s">
        <v>918</v>
      </c>
      <c r="DC678" s="131" t="str">
        <f>HYPERLINK("http://www.generation-msx.nl/msxdb/softwareinfo/272"," Lien")</f>
        <v> Lien</v>
      </c>
      <c r="DD678" s="131">
        <v>1984</v>
      </c>
      <c r="DE678" s="131" t="s">
        <v>919</v>
      </c>
      <c r="DF678" s="131" t="s">
        <v>17</v>
      </c>
      <c r="DG678" s="131" t="s">
        <v>21</v>
      </c>
      <c r="DH678" s="131" t="s">
        <v>18</v>
      </c>
      <c r="DI678" s="130" t="s">
        <v>918</v>
      </c>
      <c r="DJ678" s="131" t="str">
        <f>HYPERLINK("http://www.generation-msx.nl/msxdb/softwareinfo/272"," Lien")</f>
        <v> Lien</v>
      </c>
      <c r="DK678" s="131">
        <v>1984</v>
      </c>
      <c r="DL678" s="131" t="s">
        <v>919</v>
      </c>
      <c r="DM678" s="131" t="s">
        <v>17</v>
      </c>
      <c r="DN678" s="131" t="s">
        <v>21</v>
      </c>
      <c r="DO678" s="131" t="s">
        <v>18</v>
      </c>
      <c r="DP678" s="130" t="s">
        <v>918</v>
      </c>
      <c r="DQ678" s="131" t="str">
        <f>HYPERLINK("http://www.generation-msx.nl/msxdb/softwareinfo/272"," Lien")</f>
        <v> Lien</v>
      </c>
      <c r="DR678" s="131">
        <v>1984</v>
      </c>
      <c r="DS678" s="131" t="s">
        <v>919</v>
      </c>
      <c r="DT678" s="131" t="s">
        <v>17</v>
      </c>
      <c r="DU678" s="131" t="s">
        <v>21</v>
      </c>
      <c r="DV678" s="131" t="s">
        <v>18</v>
      </c>
      <c r="DW678" s="130" t="s">
        <v>918</v>
      </c>
      <c r="DX678" s="131" t="str">
        <f>HYPERLINK("http://www.generation-msx.nl/msxdb/softwareinfo/272"," Lien")</f>
        <v> Lien</v>
      </c>
      <c r="DY678" s="131">
        <v>1984</v>
      </c>
      <c r="DZ678" s="131" t="s">
        <v>919</v>
      </c>
      <c r="EA678" s="131" t="s">
        <v>17</v>
      </c>
      <c r="EB678" s="131" t="s">
        <v>21</v>
      </c>
      <c r="EC678" s="131" t="s">
        <v>18</v>
      </c>
      <c r="ED678" s="130" t="s">
        <v>918</v>
      </c>
      <c r="EE678" s="131" t="str">
        <f>HYPERLINK("http://www.generation-msx.nl/msxdb/softwareinfo/272"," Lien")</f>
        <v> Lien</v>
      </c>
      <c r="EF678" s="131">
        <v>1984</v>
      </c>
      <c r="EG678" s="131" t="s">
        <v>919</v>
      </c>
      <c r="EH678" s="131" t="s">
        <v>17</v>
      </c>
      <c r="EI678" s="131" t="s">
        <v>21</v>
      </c>
      <c r="EJ678" s="131" t="s">
        <v>18</v>
      </c>
      <c r="EK678" s="130" t="s">
        <v>918</v>
      </c>
      <c r="EL678" s="131" t="str">
        <f>HYPERLINK("http://www.generation-msx.nl/msxdb/softwareinfo/272"," Lien")</f>
        <v> Lien</v>
      </c>
      <c r="EM678" s="131">
        <v>1984</v>
      </c>
      <c r="EN678" s="131" t="s">
        <v>919</v>
      </c>
      <c r="EO678" s="131" t="s">
        <v>17</v>
      </c>
      <c r="EP678" s="131" t="s">
        <v>21</v>
      </c>
      <c r="EQ678" s="131" t="s">
        <v>18</v>
      </c>
      <c r="ER678" s="130" t="s">
        <v>918</v>
      </c>
      <c r="ES678" s="131" t="str">
        <f>HYPERLINK("http://www.generation-msx.nl/msxdb/softwareinfo/272"," Lien")</f>
        <v> Lien</v>
      </c>
      <c r="ET678" s="131">
        <v>1984</v>
      </c>
      <c r="EU678" s="131" t="s">
        <v>919</v>
      </c>
      <c r="EV678" s="131" t="s">
        <v>17</v>
      </c>
      <c r="EW678" s="131" t="s">
        <v>21</v>
      </c>
      <c r="EX678" s="131" t="s">
        <v>18</v>
      </c>
      <c r="EY678" s="130" t="s">
        <v>918</v>
      </c>
      <c r="EZ678" s="131" t="str">
        <f>HYPERLINK("http://www.generation-msx.nl/msxdb/softwareinfo/272"," Lien")</f>
        <v> Lien</v>
      </c>
      <c r="FA678" s="131">
        <v>1984</v>
      </c>
      <c r="FB678" s="131" t="s">
        <v>919</v>
      </c>
      <c r="FC678" s="131" t="s">
        <v>17</v>
      </c>
      <c r="FD678" s="131" t="s">
        <v>21</v>
      </c>
      <c r="FE678" s="131" t="s">
        <v>18</v>
      </c>
      <c r="FF678" s="130" t="s">
        <v>918</v>
      </c>
      <c r="FG678" s="131" t="str">
        <f>HYPERLINK("http://www.generation-msx.nl/msxdb/softwareinfo/272"," Lien")</f>
        <v> Lien</v>
      </c>
      <c r="FH678" s="131">
        <v>1984</v>
      </c>
      <c r="FI678" s="131" t="s">
        <v>919</v>
      </c>
      <c r="FJ678" s="131" t="s">
        <v>17</v>
      </c>
      <c r="FK678" s="131" t="s">
        <v>21</v>
      </c>
      <c r="FL678" s="131" t="s">
        <v>18</v>
      </c>
      <c r="FM678" s="130" t="s">
        <v>918</v>
      </c>
      <c r="FN678" s="131" t="str">
        <f>HYPERLINK("http://www.generation-msx.nl/msxdb/softwareinfo/272"," Lien")</f>
        <v> Lien</v>
      </c>
      <c r="FO678" s="131">
        <v>1984</v>
      </c>
      <c r="FP678" s="131" t="s">
        <v>919</v>
      </c>
      <c r="FQ678" s="131" t="s">
        <v>17</v>
      </c>
      <c r="FR678" s="131" t="s">
        <v>21</v>
      </c>
      <c r="FS678" s="131" t="s">
        <v>18</v>
      </c>
      <c r="FT678" s="130" t="s">
        <v>918</v>
      </c>
      <c r="FU678" s="131" t="str">
        <f>HYPERLINK("http://www.generation-msx.nl/msxdb/softwareinfo/272"," Lien")</f>
        <v> Lien</v>
      </c>
      <c r="FV678" s="131">
        <v>1984</v>
      </c>
      <c r="FW678" s="131" t="s">
        <v>919</v>
      </c>
      <c r="FX678" s="131" t="s">
        <v>17</v>
      </c>
      <c r="FY678" s="131" t="s">
        <v>21</v>
      </c>
      <c r="FZ678" s="131" t="s">
        <v>18</v>
      </c>
      <c r="GA678" s="130" t="s">
        <v>918</v>
      </c>
      <c r="GB678" s="131" t="str">
        <f>HYPERLINK("http://www.generation-msx.nl/msxdb/softwareinfo/272"," Lien")</f>
        <v> Lien</v>
      </c>
      <c r="GC678" s="131">
        <v>1984</v>
      </c>
      <c r="GD678" s="131" t="s">
        <v>919</v>
      </c>
      <c r="GE678" s="131" t="s">
        <v>17</v>
      </c>
      <c r="GF678" s="131" t="s">
        <v>21</v>
      </c>
      <c r="GG678" s="131" t="s">
        <v>18</v>
      </c>
      <c r="GH678" s="130" t="s">
        <v>918</v>
      </c>
      <c r="GI678" s="131" t="str">
        <f>HYPERLINK("http://www.generation-msx.nl/msxdb/softwareinfo/272"," Lien")</f>
        <v> Lien</v>
      </c>
      <c r="GJ678" s="131">
        <v>1984</v>
      </c>
      <c r="GK678" s="131" t="s">
        <v>919</v>
      </c>
      <c r="GL678" s="131" t="s">
        <v>17</v>
      </c>
      <c r="GM678" s="131" t="s">
        <v>21</v>
      </c>
      <c r="GN678" s="131" t="s">
        <v>18</v>
      </c>
      <c r="GO678" s="130" t="s">
        <v>918</v>
      </c>
      <c r="GP678" s="131" t="str">
        <f>HYPERLINK("http://www.generation-msx.nl/msxdb/softwareinfo/272"," Lien")</f>
        <v> Lien</v>
      </c>
      <c r="GQ678" s="131">
        <v>1984</v>
      </c>
      <c r="GR678" s="131" t="s">
        <v>919</v>
      </c>
      <c r="GS678" s="131" t="s">
        <v>17</v>
      </c>
      <c r="GT678" s="131" t="s">
        <v>21</v>
      </c>
      <c r="GU678" s="131" t="s">
        <v>18</v>
      </c>
      <c r="GV678" s="130" t="s">
        <v>918</v>
      </c>
      <c r="GW678" s="131" t="str">
        <f>HYPERLINK("http://www.generation-msx.nl/msxdb/softwareinfo/272"," Lien")</f>
        <v> Lien</v>
      </c>
      <c r="GX678" s="131">
        <v>1984</v>
      </c>
      <c r="GY678" s="131" t="s">
        <v>919</v>
      </c>
      <c r="GZ678" s="131" t="s">
        <v>17</v>
      </c>
      <c r="HA678" s="131" t="s">
        <v>21</v>
      </c>
      <c r="HB678" s="131" t="s">
        <v>18</v>
      </c>
      <c r="HC678" s="130" t="s">
        <v>918</v>
      </c>
      <c r="HD678" s="131" t="str">
        <f>HYPERLINK("http://www.generation-msx.nl/msxdb/softwareinfo/272"," Lien")</f>
        <v> Lien</v>
      </c>
      <c r="HE678" s="131">
        <v>1984</v>
      </c>
      <c r="HF678" s="131" t="s">
        <v>919</v>
      </c>
      <c r="HG678" s="131" t="s">
        <v>17</v>
      </c>
      <c r="HH678" s="131" t="s">
        <v>21</v>
      </c>
      <c r="HI678" s="131" t="s">
        <v>18</v>
      </c>
      <c r="HJ678" s="130" t="s">
        <v>918</v>
      </c>
      <c r="HK678" s="131" t="str">
        <f>HYPERLINK("http://www.generation-msx.nl/msxdb/softwareinfo/272"," Lien")</f>
        <v> Lien</v>
      </c>
      <c r="HL678" s="131">
        <v>1984</v>
      </c>
      <c r="HM678" s="131" t="s">
        <v>919</v>
      </c>
      <c r="HN678" s="131" t="s">
        <v>17</v>
      </c>
      <c r="HO678" s="131" t="s">
        <v>21</v>
      </c>
      <c r="HP678" s="131" t="s">
        <v>18</v>
      </c>
      <c r="HQ678" s="130" t="s">
        <v>918</v>
      </c>
      <c r="HR678" s="131" t="str">
        <f>HYPERLINK("http://www.generation-msx.nl/msxdb/softwareinfo/272"," Lien")</f>
        <v> Lien</v>
      </c>
      <c r="HS678" s="131">
        <v>1984</v>
      </c>
      <c r="HT678" s="131" t="s">
        <v>919</v>
      </c>
      <c r="HU678" s="131" t="s">
        <v>17</v>
      </c>
      <c r="HV678" s="131" t="s">
        <v>21</v>
      </c>
      <c r="HW678" s="131" t="s">
        <v>18</v>
      </c>
      <c r="HX678" s="130" t="s">
        <v>918</v>
      </c>
      <c r="HY678" s="131" t="str">
        <f>HYPERLINK("http://www.generation-msx.nl/msxdb/softwareinfo/272"," Lien")</f>
        <v> Lien</v>
      </c>
      <c r="HZ678" s="131">
        <v>1984</v>
      </c>
      <c r="IA678" s="131" t="s">
        <v>919</v>
      </c>
      <c r="IB678" s="131" t="s">
        <v>17</v>
      </c>
      <c r="IC678" s="131" t="s">
        <v>21</v>
      </c>
      <c r="ID678" s="131" t="s">
        <v>18</v>
      </c>
      <c r="IE678" s="130" t="s">
        <v>918</v>
      </c>
      <c r="IF678" s="131" t="str">
        <f>HYPERLINK("http://www.generation-msx.nl/msxdb/softwareinfo/272"," Lien")</f>
        <v> Lien</v>
      </c>
      <c r="IG678" s="131">
        <v>1984</v>
      </c>
      <c r="IH678" s="131" t="s">
        <v>919</v>
      </c>
      <c r="II678" s="131" t="s">
        <v>17</v>
      </c>
      <c r="IJ678" s="131" t="s">
        <v>21</v>
      </c>
      <c r="IK678" s="131" t="s">
        <v>18</v>
      </c>
      <c r="IL678" s="130" t="s">
        <v>918</v>
      </c>
      <c r="IM678" s="131" t="str">
        <f>HYPERLINK("http://www.generation-msx.nl/msxdb/softwareinfo/272"," Lien")</f>
        <v> Lien</v>
      </c>
      <c r="IN678" s="131">
        <v>1984</v>
      </c>
      <c r="IO678" s="131" t="s">
        <v>919</v>
      </c>
      <c r="IP678" s="131" t="s">
        <v>17</v>
      </c>
      <c r="IQ678" s="131" t="s">
        <v>21</v>
      </c>
      <c r="IR678" s="131" t="s">
        <v>18</v>
      </c>
      <c r="IS678" s="130" t="s">
        <v>918</v>
      </c>
      <c r="IT678" s="131" t="str">
        <f>HYPERLINK("http://www.generation-msx.nl/msxdb/softwareinfo/272"," Lien")</f>
        <v> Lien</v>
      </c>
      <c r="IU678" s="131">
        <v>1984</v>
      </c>
      <c r="IV678" s="131" t="s">
        <v>919</v>
      </c>
    </row>
    <row r="679" spans="1:7" ht="12.75">
      <c r="A679" s="36" t="s">
        <v>920</v>
      </c>
      <c r="B679" s="13" t="str">
        <f>HYPERLINK("http://www.generation-msx.nl/msxdb/softwareinfo/869"," Lien")</f>
        <v> Lien</v>
      </c>
      <c r="C679" s="86">
        <v>1986</v>
      </c>
      <c r="D679" s="86" t="s">
        <v>239</v>
      </c>
      <c r="E679" s="87" t="s">
        <v>24</v>
      </c>
      <c r="F679" s="87" t="s">
        <v>21</v>
      </c>
      <c r="G679" s="86" t="s">
        <v>18</v>
      </c>
    </row>
    <row r="680" spans="1:7" ht="12.75">
      <c r="A680" s="132" t="s">
        <v>921</v>
      </c>
      <c r="B680" s="18" t="str">
        <f>HYPERLINK("http://www.generation-msx.nl/msxdb/softwareinfo/994"," Lien")</f>
        <v> Lien</v>
      </c>
      <c r="C680" s="128">
        <v>1987</v>
      </c>
      <c r="D680" s="128" t="s">
        <v>561</v>
      </c>
      <c r="E680" s="129" t="s">
        <v>291</v>
      </c>
      <c r="F680" s="129" t="s">
        <v>52</v>
      </c>
      <c r="G680" s="128" t="s">
        <v>11</v>
      </c>
    </row>
    <row r="681" spans="1:7" ht="12.75">
      <c r="A681" s="49" t="s">
        <v>922</v>
      </c>
      <c r="B681" s="13"/>
      <c r="C681" s="13">
        <v>2002</v>
      </c>
      <c r="D681" s="13" t="s">
        <v>78</v>
      </c>
      <c r="E681" s="14" t="s">
        <v>79</v>
      </c>
      <c r="F681" s="14" t="s">
        <v>21</v>
      </c>
      <c r="G681" s="13" t="s">
        <v>18</v>
      </c>
    </row>
    <row r="682" spans="1:7" ht="12.75">
      <c r="A682" s="17" t="s">
        <v>923</v>
      </c>
      <c r="B682" s="18"/>
      <c r="C682" s="18">
        <v>1987</v>
      </c>
      <c r="D682" s="18" t="s">
        <v>924</v>
      </c>
      <c r="E682" s="19" t="s">
        <v>102</v>
      </c>
      <c r="F682" s="19" t="s">
        <v>102</v>
      </c>
      <c r="G682" s="18" t="s">
        <v>11</v>
      </c>
    </row>
    <row r="683" spans="1:7" ht="12.75">
      <c r="A683" s="17" t="s">
        <v>925</v>
      </c>
      <c r="B683" s="18" t="str">
        <f>HYPERLINK("http://www.generation-msx.nl/msxdb/softwareinfo/2132"," Lien")</f>
        <v> Lien</v>
      </c>
      <c r="C683" s="18">
        <v>1991</v>
      </c>
      <c r="D683" s="18" t="s">
        <v>73</v>
      </c>
      <c r="E683" s="19" t="s">
        <v>58</v>
      </c>
      <c r="F683" s="19" t="s">
        <v>10</v>
      </c>
      <c r="G683" s="18" t="s">
        <v>11</v>
      </c>
    </row>
    <row r="684" spans="1:7" ht="12.75">
      <c r="A684" s="132" t="s">
        <v>926</v>
      </c>
      <c r="B684" s="18" t="str">
        <f>HYPERLINK("http://www.generation-msx.nl/msxdb/softwareinfo/597"," Lien")</f>
        <v> Lien</v>
      </c>
      <c r="C684" s="18">
        <v>1985</v>
      </c>
      <c r="D684" s="18" t="s">
        <v>927</v>
      </c>
      <c r="E684" s="19" t="s">
        <v>40</v>
      </c>
      <c r="F684" s="19" t="s">
        <v>21</v>
      </c>
      <c r="G684" s="18" t="s">
        <v>11</v>
      </c>
    </row>
    <row r="685" spans="1:7" ht="12.75">
      <c r="A685" s="132" t="s">
        <v>928</v>
      </c>
      <c r="B685" s="18" t="str">
        <f>HYPERLINK("http://www.generation-msx.nl/msxdb/softwareinfo/275"," Lien")</f>
        <v> Lien</v>
      </c>
      <c r="C685" s="18">
        <v>1984</v>
      </c>
      <c r="D685" s="18" t="s">
        <v>929</v>
      </c>
      <c r="E685" s="19" t="s">
        <v>40</v>
      </c>
      <c r="F685" s="19" t="s">
        <v>21</v>
      </c>
      <c r="G685" s="18" t="s">
        <v>11</v>
      </c>
    </row>
    <row r="686" spans="1:7" ht="12.75">
      <c r="A686" s="36" t="s">
        <v>930</v>
      </c>
      <c r="B686" s="13" t="str">
        <f>HYPERLINK("http://www.generation-msx.nl/msxdb/softwareinfo/831"," Lien")</f>
        <v> Lien</v>
      </c>
      <c r="C686" s="13">
        <v>1985</v>
      </c>
      <c r="D686" s="13" t="s">
        <v>227</v>
      </c>
      <c r="E686" s="14" t="s">
        <v>58</v>
      </c>
      <c r="F686" s="14" t="s">
        <v>21</v>
      </c>
      <c r="G686" s="13" t="s">
        <v>18</v>
      </c>
    </row>
    <row r="687" spans="1:7" ht="12.75">
      <c r="A687" s="17" t="s">
        <v>931</v>
      </c>
      <c r="B687" s="18" t="str">
        <f>HYPERLINK("http://www.generation-msx.nl/msxdb/softwareinfo/594"," Lien")</f>
        <v> Lien</v>
      </c>
      <c r="C687" s="18">
        <v>1985</v>
      </c>
      <c r="D687" s="18" t="s">
        <v>932</v>
      </c>
      <c r="E687" s="19" t="s">
        <v>275</v>
      </c>
      <c r="F687" s="19" t="s">
        <v>10</v>
      </c>
      <c r="G687" s="18" t="s">
        <v>11</v>
      </c>
    </row>
    <row r="688" spans="1:7" ht="12.75">
      <c r="A688" s="49" t="s">
        <v>933</v>
      </c>
      <c r="B688" s="13" t="str">
        <f>HYPERLINK("http://www.generation-msx.nl/msxdb/softwareinfo/278"," Lien")</f>
        <v> Lien</v>
      </c>
      <c r="C688" s="13">
        <v>1984</v>
      </c>
      <c r="D688" s="13" t="s">
        <v>23</v>
      </c>
      <c r="E688" s="14" t="s">
        <v>307</v>
      </c>
      <c r="F688" s="14" t="s">
        <v>21</v>
      </c>
      <c r="G688" s="13" t="s">
        <v>18</v>
      </c>
    </row>
    <row r="689" spans="1:7" ht="12.75">
      <c r="A689" s="17" t="s">
        <v>934</v>
      </c>
      <c r="B689" s="18" t="str">
        <f>HYPERLINK("http://www.generation-msx.nl/msxdb/softwareinfo/2997"," Lien")</f>
        <v> Lien</v>
      </c>
      <c r="C689" s="18">
        <v>1987</v>
      </c>
      <c r="D689" s="18" t="s">
        <v>45</v>
      </c>
      <c r="E689" s="19" t="s">
        <v>9</v>
      </c>
      <c r="F689" s="19" t="s">
        <v>48</v>
      </c>
      <c r="G689" s="18" t="s">
        <v>11</v>
      </c>
    </row>
    <row r="690" spans="1:7" ht="12.75">
      <c r="A690" s="132" t="s">
        <v>935</v>
      </c>
      <c r="B690" s="18" t="str">
        <f>HYPERLINK("http://www.generation-msx.nl/msxdb/softwareinfo/824"," Lien")</f>
        <v> Lien</v>
      </c>
      <c r="C690" s="18">
        <v>1986</v>
      </c>
      <c r="D690" s="18" t="s">
        <v>45</v>
      </c>
      <c r="E690" s="19" t="s">
        <v>55</v>
      </c>
      <c r="F690" s="19" t="s">
        <v>52</v>
      </c>
      <c r="G690" s="18" t="s">
        <v>11</v>
      </c>
    </row>
    <row r="691" spans="1:7" ht="12.75">
      <c r="A691" s="132" t="s">
        <v>936</v>
      </c>
      <c r="B691" s="18" t="str">
        <f>HYPERLINK("http://www.generation-msx.nl/msxdb/softwareinfo/824"," Lien")</f>
        <v> Lien</v>
      </c>
      <c r="C691" s="18">
        <v>1986</v>
      </c>
      <c r="D691" s="18" t="s">
        <v>932</v>
      </c>
      <c r="E691" s="19" t="s">
        <v>55</v>
      </c>
      <c r="F691" s="19" t="s">
        <v>52</v>
      </c>
      <c r="G691" s="18" t="s">
        <v>11</v>
      </c>
    </row>
    <row r="692" spans="1:7" ht="12.75">
      <c r="A692" s="36" t="s">
        <v>937</v>
      </c>
      <c r="B692" s="13" t="str">
        <f>HYPERLINK("http://www.generation-msx.nl/msxdb/softwareinfo/2859"," Lien")</f>
        <v> Lien</v>
      </c>
      <c r="C692" s="13">
        <v>1985</v>
      </c>
      <c r="D692" s="13" t="s">
        <v>938</v>
      </c>
      <c r="E692" s="14" t="s">
        <v>17</v>
      </c>
      <c r="F692" s="14" t="s">
        <v>10</v>
      </c>
      <c r="G692" s="13" t="s">
        <v>18</v>
      </c>
    </row>
    <row r="693" spans="1:7" ht="12.75">
      <c r="A693" s="36" t="s">
        <v>939</v>
      </c>
      <c r="B693" s="13" t="str">
        <f>HYPERLINK("http://www.generation-msx.nl/msxdb/softwareinfo/2987"," Lien")</f>
        <v> Lien</v>
      </c>
      <c r="C693" s="13">
        <v>1988</v>
      </c>
      <c r="D693" s="13" t="s">
        <v>177</v>
      </c>
      <c r="E693" s="14" t="s">
        <v>51</v>
      </c>
      <c r="F693" s="14" t="s">
        <v>48</v>
      </c>
      <c r="G693" s="13" t="s">
        <v>18</v>
      </c>
    </row>
    <row r="694" spans="1:7" ht="12.75">
      <c r="A694" s="17" t="s">
        <v>940</v>
      </c>
      <c r="B694" s="18" t="str">
        <f>HYPERLINK("http://www.generation-msx.nl/msxdb/softwareinfo/386"," Lien")</f>
        <v> Lien</v>
      </c>
      <c r="C694" s="18">
        <v>1985</v>
      </c>
      <c r="D694" s="18" t="s">
        <v>941</v>
      </c>
      <c r="E694" s="19" t="s">
        <v>24</v>
      </c>
      <c r="F694" s="19" t="s">
        <v>21</v>
      </c>
      <c r="G694" s="18" t="s">
        <v>11</v>
      </c>
    </row>
    <row r="695" spans="1:7" ht="12.75">
      <c r="A695" s="36" t="s">
        <v>942</v>
      </c>
      <c r="B695" s="13" t="str">
        <f>HYPERLINK("http://www.generation-msx.nl/msxdb/softwareinfo/2247"," Lien")</f>
        <v> Lien</v>
      </c>
      <c r="C695" s="13">
        <v>1987</v>
      </c>
      <c r="D695" s="13" t="s">
        <v>243</v>
      </c>
      <c r="E695" s="14" t="s">
        <v>110</v>
      </c>
      <c r="F695" s="14" t="s">
        <v>10</v>
      </c>
      <c r="G695" s="13" t="s">
        <v>18</v>
      </c>
    </row>
    <row r="696" spans="1:7" ht="12.75">
      <c r="A696" s="17" t="s">
        <v>943</v>
      </c>
      <c r="B696" s="18" t="str">
        <f>HYPERLINK("http://www.generation-msx.nl/msxdb/softwareinfo/3227"," Lien")</f>
        <v> Lien</v>
      </c>
      <c r="C696" s="18">
        <v>1986</v>
      </c>
      <c r="D696" s="18" t="s">
        <v>85</v>
      </c>
      <c r="E696" s="19" t="s">
        <v>58</v>
      </c>
      <c r="F696" s="19" t="s">
        <v>10</v>
      </c>
      <c r="G696" s="18" t="s">
        <v>11</v>
      </c>
    </row>
    <row r="697" spans="1:7" ht="12.75">
      <c r="A697" s="17" t="s">
        <v>944</v>
      </c>
      <c r="B697" s="18" t="str">
        <f>HYPERLINK("http://www.generation-msx.nl/msxdb/softwareinfo/72"," Lien")</f>
        <v> Lien</v>
      </c>
      <c r="C697" s="18">
        <v>1983</v>
      </c>
      <c r="D697" s="18" t="s">
        <v>215</v>
      </c>
      <c r="E697" s="19" t="s">
        <v>17</v>
      </c>
      <c r="F697" s="19" t="s">
        <v>21</v>
      </c>
      <c r="G697" s="18" t="s">
        <v>11</v>
      </c>
    </row>
    <row r="698" spans="1:7" ht="12.75">
      <c r="A698" s="17" t="s">
        <v>945</v>
      </c>
      <c r="B698" s="18" t="str">
        <f>HYPERLINK("http://www.generation-msx.nl/msxdb/softwareinfo/576"," Lien")</f>
        <v> Lien</v>
      </c>
      <c r="C698" s="18">
        <v>1985</v>
      </c>
      <c r="D698" s="18" t="s">
        <v>372</v>
      </c>
      <c r="E698" s="19" t="s">
        <v>51</v>
      </c>
      <c r="F698" s="19" t="s">
        <v>27</v>
      </c>
      <c r="G698" s="18" t="s">
        <v>11</v>
      </c>
    </row>
    <row r="699" spans="1:7" ht="12.75">
      <c r="A699" s="133" t="s">
        <v>946</v>
      </c>
      <c r="B699" s="13" t="str">
        <f>HYPERLINK("http://www.generation-msx.nl/msxdb/softwareinfo/308"," Lien")</f>
        <v> Lien</v>
      </c>
      <c r="C699" s="13">
        <v>1984</v>
      </c>
      <c r="D699" s="13" t="s">
        <v>23</v>
      </c>
      <c r="E699" s="14" t="s">
        <v>9</v>
      </c>
      <c r="F699" s="14" t="s">
        <v>21</v>
      </c>
      <c r="G699" s="13" t="s">
        <v>18</v>
      </c>
    </row>
    <row r="700" spans="1:7" ht="12.75">
      <c r="A700" s="17" t="s">
        <v>947</v>
      </c>
      <c r="B700" s="18"/>
      <c r="C700" s="18">
        <v>1987</v>
      </c>
      <c r="D700" s="18" t="s">
        <v>54</v>
      </c>
      <c r="E700" s="19" t="s">
        <v>9</v>
      </c>
      <c r="F700" s="19" t="s">
        <v>102</v>
      </c>
      <c r="G700" s="18" t="s">
        <v>11</v>
      </c>
    </row>
    <row r="701" spans="1:7" ht="12.75">
      <c r="A701" s="17" t="s">
        <v>948</v>
      </c>
      <c r="B701" s="18" t="str">
        <f>HYPERLINK("http://www.generation-msx.nl/msxdb/softwareinfo/3441"," Lien")</f>
        <v> Lien</v>
      </c>
      <c r="C701" s="18">
        <v>1984</v>
      </c>
      <c r="D701" s="18" t="s">
        <v>949</v>
      </c>
      <c r="E701" s="19" t="s">
        <v>307</v>
      </c>
      <c r="F701" s="19" t="s">
        <v>48</v>
      </c>
      <c r="G701" s="18" t="s">
        <v>11</v>
      </c>
    </row>
    <row r="702" spans="1:7" ht="12.75">
      <c r="A702" s="17" t="s">
        <v>950</v>
      </c>
      <c r="B702" s="18" t="str">
        <f>HYPERLINK("http://www.generation-msx.nl/msxdb/softwareinfo/2710"," Lien")</f>
        <v> Lien</v>
      </c>
      <c r="C702" s="18">
        <v>1988</v>
      </c>
      <c r="D702" s="18" t="s">
        <v>198</v>
      </c>
      <c r="E702" s="19" t="s">
        <v>9</v>
      </c>
      <c r="F702" s="19" t="s">
        <v>10</v>
      </c>
      <c r="G702" s="18" t="s">
        <v>11</v>
      </c>
    </row>
    <row r="703" spans="1:7" ht="12.75">
      <c r="A703" s="17" t="s">
        <v>951</v>
      </c>
      <c r="B703" s="18"/>
      <c r="C703" s="18">
        <v>1985</v>
      </c>
      <c r="D703" s="18" t="s">
        <v>42</v>
      </c>
      <c r="E703" s="19" t="s">
        <v>102</v>
      </c>
      <c r="F703" s="19" t="s">
        <v>102</v>
      </c>
      <c r="G703" s="18" t="s">
        <v>11</v>
      </c>
    </row>
    <row r="704" spans="1:7" ht="12.75">
      <c r="A704" s="17" t="s">
        <v>952</v>
      </c>
      <c r="B704" s="18"/>
      <c r="C704" s="18">
        <v>1985</v>
      </c>
      <c r="D704" s="18" t="s">
        <v>953</v>
      </c>
      <c r="E704" s="19" t="s">
        <v>24</v>
      </c>
      <c r="F704" s="19" t="s">
        <v>102</v>
      </c>
      <c r="G704" s="18" t="s">
        <v>11</v>
      </c>
    </row>
    <row r="705" spans="1:7" ht="12.75">
      <c r="A705" s="17" t="s">
        <v>954</v>
      </c>
      <c r="B705" s="18"/>
      <c r="C705" s="18">
        <v>1988</v>
      </c>
      <c r="D705" s="18" t="s">
        <v>955</v>
      </c>
      <c r="E705" s="19" t="s">
        <v>307</v>
      </c>
      <c r="F705" s="19" t="s">
        <v>102</v>
      </c>
      <c r="G705" s="18" t="s">
        <v>11</v>
      </c>
    </row>
    <row r="706" spans="1:7" ht="12.75">
      <c r="A706" s="17" t="s">
        <v>956</v>
      </c>
      <c r="B706" s="18"/>
      <c r="C706" s="18">
        <v>1986</v>
      </c>
      <c r="D706" s="18" t="s">
        <v>957</v>
      </c>
      <c r="E706" s="19" t="s">
        <v>9</v>
      </c>
      <c r="F706" s="19" t="s">
        <v>102</v>
      </c>
      <c r="G706" s="18" t="s">
        <v>11</v>
      </c>
    </row>
    <row r="707" spans="1:7" ht="12.75">
      <c r="A707" s="49" t="s">
        <v>958</v>
      </c>
      <c r="B707" s="13" t="str">
        <f>HYPERLINK("http://www.generation-msx.nl/msxdb/softwareinfo/258"," Lien")</f>
        <v> Lien</v>
      </c>
      <c r="C707" s="13">
        <v>1983</v>
      </c>
      <c r="D707" s="13" t="s">
        <v>959</v>
      </c>
      <c r="E707" s="14" t="s">
        <v>9</v>
      </c>
      <c r="F707" s="14" t="s">
        <v>21</v>
      </c>
      <c r="G707" s="13" t="s">
        <v>18</v>
      </c>
    </row>
    <row r="708" spans="1:7" ht="12.75">
      <c r="A708" s="36" t="s">
        <v>960</v>
      </c>
      <c r="B708" s="13" t="str">
        <f>HYPERLINK("http://www.generation-msx.nl/msxdb/softwareinfo/3302"," Lien")</f>
        <v> Lien</v>
      </c>
      <c r="C708" s="13">
        <v>1985</v>
      </c>
      <c r="D708" s="13" t="s">
        <v>961</v>
      </c>
      <c r="E708" s="14" t="s">
        <v>9</v>
      </c>
      <c r="F708" s="14" t="s">
        <v>10</v>
      </c>
      <c r="G708" s="13" t="s">
        <v>18</v>
      </c>
    </row>
    <row r="709" spans="1:7" ht="12.75">
      <c r="A709" s="17" t="s">
        <v>962</v>
      </c>
      <c r="B709" s="18" t="str">
        <f>HYPERLINK("http://www.generation-msx.nl/msxdb/softwareinfo/2084"," Lien")</f>
        <v> Lien</v>
      </c>
      <c r="C709" s="18">
        <v>1987</v>
      </c>
      <c r="D709" s="18" t="s">
        <v>302</v>
      </c>
      <c r="E709" s="19" t="s">
        <v>24</v>
      </c>
      <c r="F709" s="19" t="s">
        <v>10</v>
      </c>
      <c r="G709" s="18" t="s">
        <v>11</v>
      </c>
    </row>
    <row r="710" spans="1:7" ht="12.75">
      <c r="A710" s="132" t="s">
        <v>963</v>
      </c>
      <c r="B710" s="18" t="str">
        <f>HYPERLINK("http://www.generation-msx.nl/msxdb/softwareinfo/605"," Lien")</f>
        <v> Lien</v>
      </c>
      <c r="C710" s="18">
        <v>1985</v>
      </c>
      <c r="D710" s="18" t="s">
        <v>932</v>
      </c>
      <c r="E710" s="19" t="s">
        <v>207</v>
      </c>
      <c r="F710" s="19" t="s">
        <v>27</v>
      </c>
      <c r="G710" s="18" t="s">
        <v>11</v>
      </c>
    </row>
    <row r="711" spans="1:7" ht="12.75">
      <c r="A711" s="17" t="s">
        <v>964</v>
      </c>
      <c r="B711" s="18" t="str">
        <f>HYPERLINK("http://www.generation-msx.nl/msxdb/softwareinfo/3438"," Lien")</f>
        <v> Lien</v>
      </c>
      <c r="C711" s="18">
        <v>1984</v>
      </c>
      <c r="D711" s="18" t="s">
        <v>222</v>
      </c>
      <c r="E711" s="19" t="s">
        <v>55</v>
      </c>
      <c r="F711" s="19" t="s">
        <v>10</v>
      </c>
      <c r="G711" s="18" t="s">
        <v>11</v>
      </c>
    </row>
    <row r="712" spans="1:7" ht="12.75">
      <c r="A712" s="17" t="s">
        <v>965</v>
      </c>
      <c r="B712" s="18" t="str">
        <f>HYPERLINK("http://www.generation-msx.nl/msxdb/softwareinfo/283"," Lien")</f>
        <v> Lien</v>
      </c>
      <c r="C712" s="18">
        <v>1984</v>
      </c>
      <c r="D712" s="18" t="s">
        <v>26</v>
      </c>
      <c r="E712" s="19" t="s">
        <v>9</v>
      </c>
      <c r="F712" s="19" t="s">
        <v>21</v>
      </c>
      <c r="G712" s="18" t="s">
        <v>11</v>
      </c>
    </row>
    <row r="713" spans="1:7" ht="12.75">
      <c r="A713" s="36" t="s">
        <v>966</v>
      </c>
      <c r="B713" s="13" t="str">
        <f>HYPERLINK("http://www.generation-msx.nl/msxdb/softwareinfo/491"," Lien")</f>
        <v> Lien</v>
      </c>
      <c r="C713" s="13">
        <v>1985</v>
      </c>
      <c r="D713" s="13" t="s">
        <v>501</v>
      </c>
      <c r="E713" s="14" t="s">
        <v>55</v>
      </c>
      <c r="F713" s="14" t="s">
        <v>10</v>
      </c>
      <c r="G713" s="13" t="s">
        <v>18</v>
      </c>
    </row>
    <row r="714" spans="1:7" ht="12.75">
      <c r="A714" s="36" t="s">
        <v>967</v>
      </c>
      <c r="B714" s="13" t="str">
        <f>HYPERLINK("http://www.generation-msx.nl/msxdb/softwareinfo/318"," Lien")</f>
        <v> Lien</v>
      </c>
      <c r="C714" s="13">
        <v>1984</v>
      </c>
      <c r="D714" s="13" t="s">
        <v>215</v>
      </c>
      <c r="E714" s="14" t="s">
        <v>17</v>
      </c>
      <c r="F714" s="14" t="s">
        <v>21</v>
      </c>
      <c r="G714" s="13" t="s">
        <v>18</v>
      </c>
    </row>
    <row r="715" spans="1:7" ht="12.75">
      <c r="A715" s="36" t="s">
        <v>968</v>
      </c>
      <c r="B715" s="13" t="str">
        <f>HYPERLINK("http://www.generation-msx.nl/msxdb/softwareinfo/645"," Lien")</f>
        <v> Lien</v>
      </c>
      <c r="C715" s="13">
        <v>1986</v>
      </c>
      <c r="D715" s="13" t="s">
        <v>215</v>
      </c>
      <c r="E715" s="14" t="s">
        <v>17</v>
      </c>
      <c r="F715" s="14" t="s">
        <v>21</v>
      </c>
      <c r="G715" s="13" t="s">
        <v>18</v>
      </c>
    </row>
    <row r="716" spans="1:7" ht="12.75">
      <c r="A716" s="17" t="s">
        <v>969</v>
      </c>
      <c r="B716" s="18" t="str">
        <f>HYPERLINK("http://www.generation-msx.nl/msxdb/softwareinfo/3439"," Lien")</f>
        <v> Lien</v>
      </c>
      <c r="C716" s="18">
        <v>1986</v>
      </c>
      <c r="D716" s="18" t="s">
        <v>222</v>
      </c>
      <c r="E716" s="19" t="s">
        <v>55</v>
      </c>
      <c r="F716" s="19" t="s">
        <v>10</v>
      </c>
      <c r="G716" s="18" t="s">
        <v>11</v>
      </c>
    </row>
    <row r="717" spans="1:7" ht="12.75">
      <c r="A717" s="17" t="s">
        <v>970</v>
      </c>
      <c r="B717" s="18" t="str">
        <f>HYPERLINK("http://www.generation-msx.nl/msxdb/softwareinfo/2390"," Lien")</f>
        <v> Lien</v>
      </c>
      <c r="C717" s="18">
        <v>1986</v>
      </c>
      <c r="D717" s="18" t="s">
        <v>66</v>
      </c>
      <c r="E717" s="19" t="s">
        <v>58</v>
      </c>
      <c r="F717" s="19" t="s">
        <v>27</v>
      </c>
      <c r="G717" s="18" t="s">
        <v>11</v>
      </c>
    </row>
    <row r="718" spans="1:7" ht="12.75">
      <c r="A718" s="17" t="s">
        <v>971</v>
      </c>
      <c r="B718" s="18" t="str">
        <f>HYPERLINK("http://www.konamito.com/ficha/?id=1241"," Lien")</f>
        <v> Lien</v>
      </c>
      <c r="C718" s="18" t="s">
        <v>102</v>
      </c>
      <c r="D718" s="18" t="s">
        <v>972</v>
      </c>
      <c r="E718" s="19" t="s">
        <v>55</v>
      </c>
      <c r="F718" s="19" t="s">
        <v>10</v>
      </c>
      <c r="G718" s="18" t="s">
        <v>11</v>
      </c>
    </row>
    <row r="719" spans="1:7" ht="12.75">
      <c r="A719" s="17" t="s">
        <v>973</v>
      </c>
      <c r="B719" s="18" t="str">
        <f>HYPERLINK("http://msxdev.msxblue.com/?page_id=330"," Lien")</f>
        <v> Lien</v>
      </c>
      <c r="C719" s="18">
        <v>2008</v>
      </c>
      <c r="D719" s="18" t="s">
        <v>974</v>
      </c>
      <c r="E719" s="19" t="s">
        <v>102</v>
      </c>
      <c r="F719" s="19" t="s">
        <v>21</v>
      </c>
      <c r="G719" s="18" t="s">
        <v>11</v>
      </c>
    </row>
    <row r="720" spans="1:7" ht="12.75">
      <c r="A720" s="36" t="s">
        <v>975</v>
      </c>
      <c r="B720" s="13" t="str">
        <f>HYPERLINK("http://www.generation-msx.nl/msxdb/softwareinfo/3098"," Lien")</f>
        <v> Lien</v>
      </c>
      <c r="C720" s="13">
        <v>1990</v>
      </c>
      <c r="D720" s="13" t="s">
        <v>976</v>
      </c>
      <c r="E720" s="14" t="s">
        <v>323</v>
      </c>
      <c r="F720" s="14" t="s">
        <v>10</v>
      </c>
      <c r="G720" s="13" t="s">
        <v>18</v>
      </c>
    </row>
    <row r="721" spans="1:7" ht="12.75">
      <c r="A721" s="17" t="s">
        <v>977</v>
      </c>
      <c r="B721" s="18"/>
      <c r="C721" s="18" t="s">
        <v>102</v>
      </c>
      <c r="D721" s="18" t="s">
        <v>102</v>
      </c>
      <c r="E721" s="19" t="s">
        <v>17</v>
      </c>
      <c r="F721" s="19" t="s">
        <v>102</v>
      </c>
      <c r="G721" s="18" t="s">
        <v>11</v>
      </c>
    </row>
    <row r="722" spans="1:7" ht="12.75">
      <c r="A722" s="17" t="s">
        <v>978</v>
      </c>
      <c r="B722" s="18" t="str">
        <f>HYPERLINK("http://www.generation-msx.nl/msxdb/softwareinfo/3110"," Lien")</f>
        <v> Lien</v>
      </c>
      <c r="C722" s="18">
        <v>1984</v>
      </c>
      <c r="D722" s="18" t="s">
        <v>979</v>
      </c>
      <c r="E722" s="19" t="s">
        <v>9</v>
      </c>
      <c r="F722" s="19" t="s">
        <v>10</v>
      </c>
      <c r="G722" s="18" t="s">
        <v>11</v>
      </c>
    </row>
    <row r="723" spans="1:7" ht="12.75">
      <c r="A723" s="17" t="s">
        <v>980</v>
      </c>
      <c r="B723" s="18" t="str">
        <f>HYPERLINK("http://www.generation-msx.nl/msxdb/softwareinfo/2664"," Lien")</f>
        <v> Lien</v>
      </c>
      <c r="C723" s="18">
        <v>1987</v>
      </c>
      <c r="D723" s="18" t="s">
        <v>109</v>
      </c>
      <c r="E723" s="19" t="s">
        <v>9</v>
      </c>
      <c r="F723" s="19" t="s">
        <v>10</v>
      </c>
      <c r="G723" s="18" t="s">
        <v>11</v>
      </c>
    </row>
    <row r="724" spans="1:7" ht="12.75">
      <c r="A724" s="17" t="s">
        <v>981</v>
      </c>
      <c r="B724" s="18"/>
      <c r="C724" s="18" t="s">
        <v>102</v>
      </c>
      <c r="D724" s="18" t="s">
        <v>102</v>
      </c>
      <c r="E724" s="19" t="s">
        <v>51</v>
      </c>
      <c r="F724" s="19" t="s">
        <v>102</v>
      </c>
      <c r="G724" s="18" t="s">
        <v>11</v>
      </c>
    </row>
    <row r="725" spans="1:7" ht="12.75">
      <c r="A725" s="17" t="s">
        <v>982</v>
      </c>
      <c r="B725" s="18" t="str">
        <f>HYPERLINK("http://www.generation-msx.nl/msxdb/softwareinfo/3378"," Lien")</f>
        <v> Lien</v>
      </c>
      <c r="C725" s="18">
        <v>1984</v>
      </c>
      <c r="D725" s="18" t="s">
        <v>123</v>
      </c>
      <c r="E725" s="19" t="s">
        <v>307</v>
      </c>
      <c r="F725" s="19" t="s">
        <v>10</v>
      </c>
      <c r="G725" s="18" t="s">
        <v>11</v>
      </c>
    </row>
    <row r="726" spans="1:7" ht="12.75">
      <c r="A726" s="17" t="s">
        <v>983</v>
      </c>
      <c r="B726" s="18" t="str">
        <f>HYPERLINK("http://www.generation-msx.nl/msxdb/softwareinfo/2222"," Lien")</f>
        <v> Lien</v>
      </c>
      <c r="C726" s="18">
        <v>1988</v>
      </c>
      <c r="D726" s="18" t="s">
        <v>96</v>
      </c>
      <c r="E726" s="19" t="s">
        <v>9</v>
      </c>
      <c r="F726" s="19" t="s">
        <v>10</v>
      </c>
      <c r="G726" s="18" t="s">
        <v>11</v>
      </c>
    </row>
    <row r="727" spans="1:7" ht="12.75">
      <c r="A727" s="36" t="s">
        <v>984</v>
      </c>
      <c r="B727" s="13" t="str">
        <f>HYPERLINK("http://www.generation-msx.nl/msxdb/softwareinfo/600"," Lien")</f>
        <v> Lien</v>
      </c>
      <c r="C727" s="13">
        <v>1984</v>
      </c>
      <c r="D727" s="13" t="s">
        <v>243</v>
      </c>
      <c r="E727" s="14" t="s">
        <v>51</v>
      </c>
      <c r="F727" s="14" t="s">
        <v>10</v>
      </c>
      <c r="G727" s="13" t="s">
        <v>18</v>
      </c>
    </row>
    <row r="728" spans="1:7" ht="12.75">
      <c r="A728" s="36" t="s">
        <v>985</v>
      </c>
      <c r="B728" s="13" t="str">
        <f>HYPERLINK("http://www.generation-msx.nl/msxdb/softwareinfo/2133"," Lien")</f>
        <v> Lien</v>
      </c>
      <c r="C728" s="13">
        <v>1988</v>
      </c>
      <c r="D728" s="13" t="s">
        <v>73</v>
      </c>
      <c r="E728" s="14" t="s">
        <v>51</v>
      </c>
      <c r="F728" s="14" t="s">
        <v>10</v>
      </c>
      <c r="G728" s="13" t="s">
        <v>18</v>
      </c>
    </row>
    <row r="729" spans="1:7" ht="12.75">
      <c r="A729" s="17" t="s">
        <v>986</v>
      </c>
      <c r="B729" s="18"/>
      <c r="C729" s="18" t="s">
        <v>102</v>
      </c>
      <c r="D729" s="18" t="s">
        <v>987</v>
      </c>
      <c r="E729" s="19" t="s">
        <v>9</v>
      </c>
      <c r="F729" s="19" t="s">
        <v>102</v>
      </c>
      <c r="G729" s="18" t="s">
        <v>11</v>
      </c>
    </row>
    <row r="730" spans="1:7" ht="12.75">
      <c r="A730" s="36" t="s">
        <v>988</v>
      </c>
      <c r="B730" s="13" t="str">
        <f>HYPERLINK("http://www.generation-msx.nl/msxdb/softwareinfo/2968"," Lien")</f>
        <v> Lien</v>
      </c>
      <c r="C730" s="13">
        <v>1988</v>
      </c>
      <c r="D730" s="13" t="s">
        <v>486</v>
      </c>
      <c r="E730" s="14" t="s">
        <v>43</v>
      </c>
      <c r="F730" s="14" t="s">
        <v>10</v>
      </c>
      <c r="G730" s="13" t="s">
        <v>18</v>
      </c>
    </row>
    <row r="731" spans="1:7" ht="12.75">
      <c r="A731" s="17" t="s">
        <v>989</v>
      </c>
      <c r="B731" s="18" t="str">
        <f>HYPERLINK("http://www.generation-msx.nl/msxdb/softwareinfo/3342"," Lien")</f>
        <v> Lien</v>
      </c>
      <c r="C731" s="18">
        <v>1985</v>
      </c>
      <c r="D731" s="18" t="s">
        <v>879</v>
      </c>
      <c r="E731" s="19" t="s">
        <v>55</v>
      </c>
      <c r="F731" s="19" t="s">
        <v>10</v>
      </c>
      <c r="G731" s="18" t="s">
        <v>11</v>
      </c>
    </row>
    <row r="732" spans="1:7" ht="12.75">
      <c r="A732" s="17" t="s">
        <v>990</v>
      </c>
      <c r="B732" s="18"/>
      <c r="C732" s="18">
        <v>1985</v>
      </c>
      <c r="D732" s="18" t="s">
        <v>991</v>
      </c>
      <c r="E732" s="19" t="s">
        <v>9</v>
      </c>
      <c r="F732" s="19" t="s">
        <v>102</v>
      </c>
      <c r="G732" s="18" t="s">
        <v>11</v>
      </c>
    </row>
    <row r="733" spans="1:7" ht="12.75">
      <c r="A733" s="17" t="s">
        <v>992</v>
      </c>
      <c r="B733" s="18"/>
      <c r="C733" s="18" t="s">
        <v>102</v>
      </c>
      <c r="D733" s="18" t="s">
        <v>993</v>
      </c>
      <c r="E733" s="19" t="s">
        <v>58</v>
      </c>
      <c r="F733" s="19" t="s">
        <v>102</v>
      </c>
      <c r="G733" s="18" t="s">
        <v>11</v>
      </c>
    </row>
    <row r="734" spans="1:7" ht="12.75">
      <c r="A734" s="36" t="s">
        <v>994</v>
      </c>
      <c r="B734" s="13" t="str">
        <f>HYPERLINK("http://www.generation-msx.nl/msxdb/softwareinfo/57"," Lien")</f>
        <v> Lien</v>
      </c>
      <c r="C734" s="13">
        <v>1983</v>
      </c>
      <c r="D734" s="13" t="s">
        <v>160</v>
      </c>
      <c r="E734" s="14" t="s">
        <v>275</v>
      </c>
      <c r="F734" s="14" t="s">
        <v>21</v>
      </c>
      <c r="G734" s="13" t="s">
        <v>18</v>
      </c>
    </row>
    <row r="735" spans="1:7" ht="12.75">
      <c r="A735" s="17" t="s">
        <v>995</v>
      </c>
      <c r="B735" s="18" t="str">
        <f>HYPERLINK("http://www.generation-msx.nl/msxdb/softwareinfo/2431"," Lien")</f>
        <v> Lien</v>
      </c>
      <c r="C735" s="18">
        <v>1984</v>
      </c>
      <c r="D735" s="18" t="s">
        <v>996</v>
      </c>
      <c r="E735" s="19" t="s">
        <v>43</v>
      </c>
      <c r="F735" s="19" t="s">
        <v>10</v>
      </c>
      <c r="G735" s="18" t="s">
        <v>11</v>
      </c>
    </row>
    <row r="736" spans="1:7" ht="12.75">
      <c r="A736" s="36" t="s">
        <v>997</v>
      </c>
      <c r="B736" s="18" t="str">
        <f>HYPERLINK("http://www.konamito.com/ficha/?id=1433"," Lien")</f>
        <v> Lien</v>
      </c>
      <c r="C736" s="13" t="s">
        <v>998</v>
      </c>
      <c r="D736" s="13" t="s">
        <v>102</v>
      </c>
      <c r="E736" s="14" t="s">
        <v>291</v>
      </c>
      <c r="F736" s="14" t="s">
        <v>102</v>
      </c>
      <c r="G736" s="13" t="s">
        <v>18</v>
      </c>
    </row>
    <row r="737" spans="1:7" ht="12.75">
      <c r="A737" s="36" t="s">
        <v>999</v>
      </c>
      <c r="B737" s="13" t="str">
        <f>HYPERLINK("http://www.generation-msx.nl/msxdb/softwareinfo/577"," Lien")</f>
        <v> Lien</v>
      </c>
      <c r="C737" s="13">
        <v>1985</v>
      </c>
      <c r="D737" s="13" t="s">
        <v>29</v>
      </c>
      <c r="E737" s="14" t="s">
        <v>291</v>
      </c>
      <c r="F737" s="14" t="s">
        <v>27</v>
      </c>
      <c r="G737" s="13" t="s">
        <v>18</v>
      </c>
    </row>
    <row r="738" spans="1:7" ht="12.75">
      <c r="A738" s="36" t="s">
        <v>1000</v>
      </c>
      <c r="B738" s="13" t="str">
        <f>HYPERLINK("http://www.generation-msx.nl/msxdb/softwareinfo/825"," Lien")</f>
        <v> Lien</v>
      </c>
      <c r="C738" s="13">
        <v>1986</v>
      </c>
      <c r="D738" s="13" t="s">
        <v>29</v>
      </c>
      <c r="E738" s="14" t="s">
        <v>291</v>
      </c>
      <c r="F738" s="14" t="s">
        <v>52</v>
      </c>
      <c r="G738" s="13" t="s">
        <v>18</v>
      </c>
    </row>
    <row r="739" spans="1:7" ht="12.75">
      <c r="A739" s="36" t="s">
        <v>1001</v>
      </c>
      <c r="B739" s="13" t="str">
        <f>HYPERLINK("http://www.generation-msx.nl/msxdb/softwareinfo/991"," Lien")</f>
        <v> Lien</v>
      </c>
      <c r="C739" s="13">
        <v>1987</v>
      </c>
      <c r="D739" s="13" t="s">
        <v>29</v>
      </c>
      <c r="E739" s="14" t="s">
        <v>291</v>
      </c>
      <c r="F739" s="14" t="s">
        <v>52</v>
      </c>
      <c r="G739" s="13" t="s">
        <v>18</v>
      </c>
    </row>
    <row r="740" spans="1:7" ht="12.75">
      <c r="A740" s="49" t="s">
        <v>1002</v>
      </c>
      <c r="B740" s="13" t="str">
        <f>HYPERLINK("http://www.generation-msx.nl/msxdb/softwareinfo/2872"," Lien")</f>
        <v> Lien</v>
      </c>
      <c r="C740" s="13">
        <v>1987</v>
      </c>
      <c r="D740" s="13" t="s">
        <v>481</v>
      </c>
      <c r="E740" s="14" t="s">
        <v>24</v>
      </c>
      <c r="F740" s="14" t="s">
        <v>178</v>
      </c>
      <c r="G740" s="13" t="s">
        <v>18</v>
      </c>
    </row>
    <row r="741" spans="1:7" ht="12.75">
      <c r="A741" s="49" t="s">
        <v>1003</v>
      </c>
      <c r="B741" s="13" t="str">
        <f>HYPERLINK("http://www.generation-msx.nl/msxdb/softwareinfo/261"," Lien")</f>
        <v> Lien</v>
      </c>
      <c r="C741" s="13">
        <v>1984</v>
      </c>
      <c r="D741" s="13" t="s">
        <v>62</v>
      </c>
      <c r="E741" s="14" t="s">
        <v>17</v>
      </c>
      <c r="F741" s="14" t="s">
        <v>21</v>
      </c>
      <c r="G741" s="13" t="s">
        <v>18</v>
      </c>
    </row>
    <row r="742" spans="1:7" ht="12.75">
      <c r="A742" s="49" t="s">
        <v>1004</v>
      </c>
      <c r="B742" s="13" t="str">
        <f>HYPERLINK("http://www.generation-msx.nl/msxdb/softwareinfo/262"," Lien")</f>
        <v> Lien</v>
      </c>
      <c r="C742" s="13">
        <v>1984</v>
      </c>
      <c r="D742" s="13" t="s">
        <v>62</v>
      </c>
      <c r="E742" s="14" t="s">
        <v>17</v>
      </c>
      <c r="F742" s="14" t="s">
        <v>21</v>
      </c>
      <c r="G742" s="13" t="s">
        <v>18</v>
      </c>
    </row>
    <row r="743" spans="1:7" ht="12.75">
      <c r="A743" s="36" t="s">
        <v>1005</v>
      </c>
      <c r="B743" s="13" t="str">
        <f>HYPERLINK("http://www.generation-msx.nl/msxdb/softwareinfo/580"," Lien")</f>
        <v> Lien</v>
      </c>
      <c r="C743" s="13">
        <v>1985</v>
      </c>
      <c r="D743" s="13" t="s">
        <v>62</v>
      </c>
      <c r="E743" s="14" t="s">
        <v>9</v>
      </c>
      <c r="F743" s="14" t="s">
        <v>21</v>
      </c>
      <c r="G743" s="13" t="s">
        <v>18</v>
      </c>
    </row>
    <row r="744" spans="1:7" ht="12.75">
      <c r="A744" s="36" t="s">
        <v>1006</v>
      </c>
      <c r="B744" s="13" t="str">
        <f>HYPERLINK("http://www.generation-msx.nl/msxdb/softwareinfo/263"," Lien")</f>
        <v> Lien</v>
      </c>
      <c r="C744" s="13">
        <v>1984</v>
      </c>
      <c r="D744" s="13" t="s">
        <v>62</v>
      </c>
      <c r="E744" s="14" t="s">
        <v>17</v>
      </c>
      <c r="F744" s="14" t="s">
        <v>21</v>
      </c>
      <c r="G744" s="13" t="s">
        <v>18</v>
      </c>
    </row>
    <row r="745" spans="1:7" ht="12.75">
      <c r="A745" s="36" t="s">
        <v>1007</v>
      </c>
      <c r="B745" s="13" t="str">
        <f>HYPERLINK("http://www.generation-msx.nl/msxdb/softwareinfo/264"," Lien")</f>
        <v> Lien</v>
      </c>
      <c r="C745" s="13">
        <v>1984</v>
      </c>
      <c r="D745" s="13" t="s">
        <v>62</v>
      </c>
      <c r="E745" s="14" t="s">
        <v>17</v>
      </c>
      <c r="F745" s="14" t="s">
        <v>21</v>
      </c>
      <c r="G745" s="13" t="s">
        <v>18</v>
      </c>
    </row>
    <row r="746" spans="1:7" ht="12.75">
      <c r="A746" s="36" t="s">
        <v>1008</v>
      </c>
      <c r="B746" s="13" t="str">
        <f>HYPERLINK("http://www.generation-msx.nl/msxdb/softwareinfo/579"," Lien")</f>
        <v> Lien</v>
      </c>
      <c r="C746" s="13">
        <v>1985</v>
      </c>
      <c r="D746" s="13" t="s">
        <v>62</v>
      </c>
      <c r="E746" s="14" t="s">
        <v>17</v>
      </c>
      <c r="F746" s="14" t="s">
        <v>21</v>
      </c>
      <c r="G746" s="13" t="s">
        <v>18</v>
      </c>
    </row>
    <row r="747" spans="1:7" ht="12.75">
      <c r="A747" s="17" t="s">
        <v>1009</v>
      </c>
      <c r="B747" s="18" t="str">
        <f>HYPERLINK("http://www.generation-msx.nl/msxdb/softwareinfo/2716"," Lien")</f>
        <v> Lien</v>
      </c>
      <c r="C747" s="18">
        <v>1985</v>
      </c>
      <c r="D747" s="18" t="s">
        <v>579</v>
      </c>
      <c r="E747" s="19" t="s">
        <v>275</v>
      </c>
      <c r="F747" s="19" t="s">
        <v>10</v>
      </c>
      <c r="G747" s="18" t="s">
        <v>11</v>
      </c>
    </row>
    <row r="748" spans="1:7" ht="12.75">
      <c r="A748" s="36" t="s">
        <v>1010</v>
      </c>
      <c r="B748" s="13" t="str">
        <f>HYPERLINK("http://www.generation-msx.nl/msxdb/softwareinfo/3109"," Lien")</f>
        <v> Lien</v>
      </c>
      <c r="C748" s="13">
        <v>1985</v>
      </c>
      <c r="D748" s="13" t="s">
        <v>85</v>
      </c>
      <c r="E748" s="14" t="s">
        <v>17</v>
      </c>
      <c r="F748" s="14" t="s">
        <v>10</v>
      </c>
      <c r="G748" s="13" t="s">
        <v>18</v>
      </c>
    </row>
    <row r="749" spans="1:7" ht="12.75">
      <c r="A749" s="17" t="s">
        <v>1011</v>
      </c>
      <c r="B749" s="18" t="str">
        <f>HYPERLINK("http://www.konamito.com/ficha/?id=1266"," Lien")</f>
        <v> Lien</v>
      </c>
      <c r="C749" s="18">
        <v>1989</v>
      </c>
      <c r="D749" s="18" t="s">
        <v>1012</v>
      </c>
      <c r="E749" s="19" t="s">
        <v>24</v>
      </c>
      <c r="F749" s="19" t="s">
        <v>10</v>
      </c>
      <c r="G749" s="18" t="s">
        <v>11</v>
      </c>
    </row>
    <row r="750" spans="1:7" ht="12.75">
      <c r="A750" s="17" t="s">
        <v>1013</v>
      </c>
      <c r="B750" s="18" t="str">
        <f>HYPERLINK("http://www.generation-msx.nl/msxdb/softwareinfo/2391"," Lien")</f>
        <v> Lien</v>
      </c>
      <c r="C750" s="18">
        <v>1986</v>
      </c>
      <c r="D750" s="18" t="s">
        <v>481</v>
      </c>
      <c r="E750" s="19" t="s">
        <v>275</v>
      </c>
      <c r="F750" s="19" t="s">
        <v>27</v>
      </c>
      <c r="G750" s="18" t="s">
        <v>11</v>
      </c>
    </row>
    <row r="751" spans="1:7" ht="12.75">
      <c r="A751" s="17" t="s">
        <v>1014</v>
      </c>
      <c r="B751" s="18" t="str">
        <f>HYPERLINK("http://www.generation-msx.nl/msxdb/softwareinfo/2878"," Lien")</f>
        <v> Lien</v>
      </c>
      <c r="C751" s="18">
        <v>1986</v>
      </c>
      <c r="D751" s="18" t="s">
        <v>520</v>
      </c>
      <c r="E751" s="19" t="s">
        <v>51</v>
      </c>
      <c r="F751" s="19" t="s">
        <v>10</v>
      </c>
      <c r="G751" s="18" t="s">
        <v>11</v>
      </c>
    </row>
    <row r="752" spans="1:7" ht="12.75">
      <c r="A752" s="49" t="s">
        <v>1015</v>
      </c>
      <c r="B752" s="13" t="str">
        <f>HYPERLINK("http://www.generation-msx.nl/msxdb/softwareinfo/365"," Lien")</f>
        <v> Lien</v>
      </c>
      <c r="C752" s="86">
        <v>1985</v>
      </c>
      <c r="D752" s="86" t="s">
        <v>239</v>
      </c>
      <c r="E752" s="87" t="s">
        <v>307</v>
      </c>
      <c r="F752" s="87" t="s">
        <v>21</v>
      </c>
      <c r="G752" s="86" t="s">
        <v>18</v>
      </c>
    </row>
    <row r="753" spans="1:7" ht="12.75">
      <c r="A753" s="17" t="s">
        <v>1016</v>
      </c>
      <c r="B753" s="18" t="str">
        <f>HYPERLINK("http://www.generation-msx.nl/msxdb/softwareinfo/2304"," Lien")</f>
        <v> Lien</v>
      </c>
      <c r="C753" s="128">
        <v>1990</v>
      </c>
      <c r="D753" s="128" t="s">
        <v>113</v>
      </c>
      <c r="E753" s="129" t="s">
        <v>17</v>
      </c>
      <c r="F753" s="129" t="s">
        <v>10</v>
      </c>
      <c r="G753" s="128" t="s">
        <v>11</v>
      </c>
    </row>
    <row r="754" spans="1:7" ht="12.75">
      <c r="A754" s="17" t="s">
        <v>1017</v>
      </c>
      <c r="B754" s="128"/>
      <c r="C754" s="128">
        <v>1984</v>
      </c>
      <c r="D754" s="128" t="s">
        <v>1018</v>
      </c>
      <c r="E754" s="129" t="s">
        <v>307</v>
      </c>
      <c r="F754" s="129" t="s">
        <v>102</v>
      </c>
      <c r="G754" s="128" t="s">
        <v>11</v>
      </c>
    </row>
    <row r="755" spans="1:7" ht="12.75">
      <c r="A755" s="17" t="s">
        <v>1019</v>
      </c>
      <c r="B755" s="18"/>
      <c r="C755" s="18">
        <v>1987</v>
      </c>
      <c r="D755" s="18" t="s">
        <v>1020</v>
      </c>
      <c r="E755" s="19" t="s">
        <v>55</v>
      </c>
      <c r="F755" s="19" t="s">
        <v>102</v>
      </c>
      <c r="G755" s="18" t="s">
        <v>11</v>
      </c>
    </row>
    <row r="756" spans="1:7" ht="12.75">
      <c r="A756" s="17" t="s">
        <v>1021</v>
      </c>
      <c r="B756" s="18"/>
      <c r="C756" s="18">
        <v>1985</v>
      </c>
      <c r="D756" s="18" t="s">
        <v>319</v>
      </c>
      <c r="E756" s="19" t="s">
        <v>67</v>
      </c>
      <c r="F756" s="19" t="s">
        <v>10</v>
      </c>
      <c r="G756" s="18" t="s">
        <v>11</v>
      </c>
    </row>
    <row r="757" spans="1:7" ht="12.75">
      <c r="A757" s="49" t="s">
        <v>1022</v>
      </c>
      <c r="B757" s="13" t="str">
        <f>HYPERLINK("http://www.generation-msx.nl/msxdb/softwareinfo/380"," Lien")</f>
        <v> Lien</v>
      </c>
      <c r="C757" s="13">
        <v>1985</v>
      </c>
      <c r="D757" s="13" t="s">
        <v>239</v>
      </c>
      <c r="E757" s="14" t="s">
        <v>9</v>
      </c>
      <c r="F757" s="14" t="s">
        <v>21</v>
      </c>
      <c r="G757" s="13" t="s">
        <v>18</v>
      </c>
    </row>
    <row r="758" spans="1:7" ht="12.75">
      <c r="A758" s="49" t="s">
        <v>1023</v>
      </c>
      <c r="B758" s="13" t="str">
        <f>HYPERLINK("http://www.generation-msx.nl/msxdb/softwareinfo/705"," Lien")</f>
        <v> Lien</v>
      </c>
      <c r="C758" s="13">
        <v>1986</v>
      </c>
      <c r="D758" s="13" t="s">
        <v>239</v>
      </c>
      <c r="E758" s="14" t="s">
        <v>9</v>
      </c>
      <c r="F758" s="14" t="s">
        <v>21</v>
      </c>
      <c r="G758" s="13" t="s">
        <v>18</v>
      </c>
    </row>
    <row r="759" spans="1:7" ht="12.75">
      <c r="A759" s="17" t="s">
        <v>1024</v>
      </c>
      <c r="B759" s="18" t="str">
        <f>HYPERLINK("http://www.generation-msx.nl/msxdb/softwareinfo/2172"," Lien")</f>
        <v> Lien</v>
      </c>
      <c r="C759" s="18">
        <v>1985</v>
      </c>
      <c r="D759" s="18" t="s">
        <v>1025</v>
      </c>
      <c r="E759" s="19" t="s">
        <v>58</v>
      </c>
      <c r="F759" s="19" t="s">
        <v>10</v>
      </c>
      <c r="G759" s="18" t="s">
        <v>11</v>
      </c>
    </row>
    <row r="760" spans="1:7" ht="12.75">
      <c r="A760" s="17" t="s">
        <v>1026</v>
      </c>
      <c r="B760" s="18"/>
      <c r="C760" s="18">
        <v>1991</v>
      </c>
      <c r="D760" s="18" t="s">
        <v>1027</v>
      </c>
      <c r="E760" s="19" t="s">
        <v>55</v>
      </c>
      <c r="F760" s="19" t="s">
        <v>102</v>
      </c>
      <c r="G760" s="18" t="s">
        <v>11</v>
      </c>
    </row>
    <row r="761" spans="1:7" ht="12.75">
      <c r="A761" s="36" t="s">
        <v>1028</v>
      </c>
      <c r="B761" s="13" t="str">
        <f>HYPERLINK("http://www.generation-msx.nl/msxdb/softwareinfo/225"," Lien")</f>
        <v> Lien</v>
      </c>
      <c r="C761" s="13">
        <v>1984</v>
      </c>
      <c r="D761" s="13" t="s">
        <v>23</v>
      </c>
      <c r="E761" s="14" t="s">
        <v>51</v>
      </c>
      <c r="F761" s="14" t="s">
        <v>21</v>
      </c>
      <c r="G761" s="13" t="s">
        <v>18</v>
      </c>
    </row>
    <row r="762" spans="1:7" ht="12.75">
      <c r="A762" s="36" t="s">
        <v>1029</v>
      </c>
      <c r="B762" s="13" t="str">
        <f>HYPERLINK("http://www.generation-msx.nl/msxdb/softwareinfo/99"," Lien")</f>
        <v> Lien</v>
      </c>
      <c r="C762" s="13">
        <v>1984</v>
      </c>
      <c r="D762" s="13" t="s">
        <v>23</v>
      </c>
      <c r="E762" s="14" t="s">
        <v>9</v>
      </c>
      <c r="F762" s="14" t="s">
        <v>21</v>
      </c>
      <c r="G762" s="13" t="s">
        <v>18</v>
      </c>
    </row>
    <row r="763" spans="1:7" ht="12.75">
      <c r="A763" s="36" t="s">
        <v>1030</v>
      </c>
      <c r="B763" s="13" t="str">
        <f>HYPERLINK("http://www.generation-msx.nl/msxdb/softwareinfo/3316"," Lien")</f>
        <v> Lien</v>
      </c>
      <c r="C763" s="13">
        <v>1985</v>
      </c>
      <c r="D763" s="13" t="s">
        <v>366</v>
      </c>
      <c r="E763" s="14" t="s">
        <v>307</v>
      </c>
      <c r="F763" s="14" t="s">
        <v>10</v>
      </c>
      <c r="G763" s="13" t="s">
        <v>18</v>
      </c>
    </row>
    <row r="764" spans="1:7" ht="12.75">
      <c r="A764" s="36" t="s">
        <v>1031</v>
      </c>
      <c r="B764" s="13" t="str">
        <f>HYPERLINK("http://www.generation-msx.nl/msxdb/softwareinfo/2801"," Lien")</f>
        <v> Lien</v>
      </c>
      <c r="C764" s="13">
        <v>1987</v>
      </c>
      <c r="D764" s="13" t="s">
        <v>481</v>
      </c>
      <c r="E764" s="14" t="s">
        <v>51</v>
      </c>
      <c r="F764" s="14" t="s">
        <v>10</v>
      </c>
      <c r="G764" s="13" t="s">
        <v>18</v>
      </c>
    </row>
    <row r="765" spans="1:7" ht="12.75">
      <c r="A765" s="36" t="s">
        <v>1032</v>
      </c>
      <c r="B765" s="13" t="str">
        <f>HYPERLINK("http://www.generation-msx.nl/msxdb/softwareinfo/101"," Lien")</f>
        <v> Lien</v>
      </c>
      <c r="C765" s="13">
        <v>1983</v>
      </c>
      <c r="D765" s="13" t="s">
        <v>26</v>
      </c>
      <c r="E765" s="14" t="s">
        <v>275</v>
      </c>
      <c r="F765" s="14" t="s">
        <v>21</v>
      </c>
      <c r="G765" s="13" t="s">
        <v>18</v>
      </c>
    </row>
    <row r="766" spans="1:7" ht="12.75">
      <c r="A766" s="36" t="s">
        <v>1033</v>
      </c>
      <c r="B766" s="13" t="str">
        <f>HYPERLINK("http://www.generation-msx.nl/msxdb/softwareinfo/3061"," Lien")</f>
        <v> Lien</v>
      </c>
      <c r="C766" s="13">
        <v>1989</v>
      </c>
      <c r="D766" s="13" t="s">
        <v>16</v>
      </c>
      <c r="E766" s="14" t="s">
        <v>51</v>
      </c>
      <c r="F766" s="14" t="s">
        <v>10</v>
      </c>
      <c r="G766" s="13" t="s">
        <v>18</v>
      </c>
    </row>
    <row r="767" spans="1:7" ht="12.75">
      <c r="A767" s="17" t="s">
        <v>1034</v>
      </c>
      <c r="B767" s="18" t="str">
        <f>HYPERLINK("http://www.generation-msx.nl/msxdb/softwareinfo/2802"," Lien")</f>
        <v> Lien</v>
      </c>
      <c r="C767" s="18">
        <v>1987</v>
      </c>
      <c r="D767" s="18" t="s">
        <v>16</v>
      </c>
      <c r="E767" s="19" t="s">
        <v>9</v>
      </c>
      <c r="F767" s="19" t="s">
        <v>10</v>
      </c>
      <c r="G767" s="18" t="s">
        <v>11</v>
      </c>
    </row>
    <row r="768" spans="1:7" ht="12.75">
      <c r="A768" s="17" t="s">
        <v>1035</v>
      </c>
      <c r="B768" s="18" t="str">
        <f>HYPERLINK("http://www.generation-msx.nl/msxdb/softwareinfo/2232"," Lien")</f>
        <v> Lien</v>
      </c>
      <c r="C768" s="18">
        <v>1987</v>
      </c>
      <c r="D768" s="18" t="s">
        <v>85</v>
      </c>
      <c r="E768" s="19" t="s">
        <v>17</v>
      </c>
      <c r="F768" s="19" t="s">
        <v>10</v>
      </c>
      <c r="G768" s="18" t="s">
        <v>11</v>
      </c>
    </row>
    <row r="769" spans="1:7" ht="12.75">
      <c r="A769" s="17" t="s">
        <v>1036</v>
      </c>
      <c r="B769" s="18" t="str">
        <f>HYPERLINK("http://www.generation-msx.nl/msxdb/softwareinfo/3039"," Lien")</f>
        <v> Lien</v>
      </c>
      <c r="C769" s="18">
        <v>1986</v>
      </c>
      <c r="D769" s="18" t="s">
        <v>45</v>
      </c>
      <c r="E769" s="19" t="s">
        <v>17</v>
      </c>
      <c r="F769" s="19" t="s">
        <v>178</v>
      </c>
      <c r="G769" s="18" t="s">
        <v>11</v>
      </c>
    </row>
    <row r="770" spans="1:7" ht="12.75">
      <c r="A770" s="17" t="s">
        <v>1037</v>
      </c>
      <c r="B770" s="18"/>
      <c r="C770" s="18">
        <v>1986</v>
      </c>
      <c r="D770" s="18" t="s">
        <v>775</v>
      </c>
      <c r="E770" s="19" t="s">
        <v>17</v>
      </c>
      <c r="F770" s="19" t="s">
        <v>102</v>
      </c>
      <c r="G770" s="18" t="s">
        <v>11</v>
      </c>
    </row>
    <row r="771" spans="1:7" ht="12.75">
      <c r="A771" s="36" t="s">
        <v>1038</v>
      </c>
      <c r="B771" s="13" t="str">
        <f>HYPERLINK("http://msxdev.msxblue.com/?page_id=330"," Lien")</f>
        <v> Lien</v>
      </c>
      <c r="C771" s="13">
        <v>2008</v>
      </c>
      <c r="D771" s="13" t="s">
        <v>1039</v>
      </c>
      <c r="E771" s="14" t="s">
        <v>17</v>
      </c>
      <c r="F771" s="14" t="s">
        <v>21</v>
      </c>
      <c r="G771" s="13" t="s">
        <v>18</v>
      </c>
    </row>
    <row r="772" spans="1:7" ht="12.75">
      <c r="A772" s="17" t="s">
        <v>1040</v>
      </c>
      <c r="B772" s="18" t="str">
        <f>HYPERLINK("http://msxdev.msxblue.com/?page_id=275"," Lien")</f>
        <v> Lien</v>
      </c>
      <c r="C772" s="18">
        <v>2006</v>
      </c>
      <c r="D772" s="18" t="s">
        <v>1041</v>
      </c>
      <c r="E772" s="19" t="s">
        <v>24</v>
      </c>
      <c r="F772" s="19" t="s">
        <v>21</v>
      </c>
      <c r="G772" s="18" t="s">
        <v>11</v>
      </c>
    </row>
    <row r="773" spans="1:7" ht="12.75">
      <c r="A773" s="17" t="s">
        <v>1042</v>
      </c>
      <c r="B773" s="18" t="str">
        <f>HYPERLINK("http://www.generation-msx.nl/msxdb/softwareinfo/2925"," Lien")</f>
        <v> Lien</v>
      </c>
      <c r="C773" s="18">
        <v>1985</v>
      </c>
      <c r="D773" s="18" t="s">
        <v>383</v>
      </c>
      <c r="E773" s="19" t="s">
        <v>51</v>
      </c>
      <c r="F773" s="19" t="s">
        <v>10</v>
      </c>
      <c r="G773" s="18" t="s">
        <v>11</v>
      </c>
    </row>
    <row r="774" spans="1:7" ht="12.75">
      <c r="A774" s="17" t="s">
        <v>1043</v>
      </c>
      <c r="B774" s="18" t="str">
        <f>HYPERLINK("http://www.generation-msx.nl/msxdb/softwareinfo/2104"," Lien")</f>
        <v> Lien</v>
      </c>
      <c r="C774" s="18">
        <v>1990</v>
      </c>
      <c r="D774" s="18" t="s">
        <v>1044</v>
      </c>
      <c r="E774" s="19" t="s">
        <v>9</v>
      </c>
      <c r="F774" s="19" t="s">
        <v>10</v>
      </c>
      <c r="G774" s="18" t="s">
        <v>11</v>
      </c>
    </row>
    <row r="775" spans="1:7" ht="12.75">
      <c r="A775" s="17" t="s">
        <v>1045</v>
      </c>
      <c r="B775" s="18" t="str">
        <f>HYPERLINK("http://www.generation-msx.nl/msxdb/softwareinfo/2448"," Lien")</f>
        <v> Lien</v>
      </c>
      <c r="C775" s="18">
        <v>1986</v>
      </c>
      <c r="D775" s="18" t="s">
        <v>1046</v>
      </c>
      <c r="E775" s="19" t="s">
        <v>17</v>
      </c>
      <c r="F775" s="19" t="s">
        <v>10</v>
      </c>
      <c r="G775" s="18" t="s">
        <v>11</v>
      </c>
    </row>
    <row r="776" spans="1:7" ht="12.75">
      <c r="A776" s="36" t="s">
        <v>1047</v>
      </c>
      <c r="B776" s="13" t="str">
        <f>HYPERLINK("http://www.generation-msx.nl/msxdb/softwareinfo/2162"," Lien")</f>
        <v> Lien</v>
      </c>
      <c r="C776" s="13">
        <v>1988</v>
      </c>
      <c r="D776" s="13" t="s">
        <v>85</v>
      </c>
      <c r="E776" s="14" t="s">
        <v>9</v>
      </c>
      <c r="F776" s="14" t="s">
        <v>10</v>
      </c>
      <c r="G776" s="13" t="s">
        <v>18</v>
      </c>
    </row>
    <row r="777" spans="1:7" ht="12.75">
      <c r="A777" s="17" t="s">
        <v>1048</v>
      </c>
      <c r="B777" s="18" t="str">
        <f>HYPERLINK("http://www.generation-msx.nl/msxdb/softwareinfo/3323"," Lien")</f>
        <v> Lien</v>
      </c>
      <c r="C777" s="18">
        <v>1986</v>
      </c>
      <c r="D777" s="18" t="s">
        <v>404</v>
      </c>
      <c r="E777" s="19" t="s">
        <v>24</v>
      </c>
      <c r="F777" s="19" t="s">
        <v>10</v>
      </c>
      <c r="G777" s="18" t="s">
        <v>11</v>
      </c>
    </row>
    <row r="778" spans="1:7" ht="12.75">
      <c r="A778" s="17" t="s">
        <v>1049</v>
      </c>
      <c r="B778" s="18" t="str">
        <f>HYPERLINK("http://www.generation-msx.nl/msxdb/softwareinfo/2784"," Lien")</f>
        <v> Lien</v>
      </c>
      <c r="C778" s="18">
        <v>1987</v>
      </c>
      <c r="D778" s="18" t="s">
        <v>135</v>
      </c>
      <c r="E778" s="19" t="s">
        <v>323</v>
      </c>
      <c r="F778" s="19" t="s">
        <v>10</v>
      </c>
      <c r="G778" s="18" t="s">
        <v>11</v>
      </c>
    </row>
    <row r="779" spans="1:7" ht="12.75">
      <c r="A779" s="36" t="s">
        <v>1050</v>
      </c>
      <c r="B779" s="13" t="str">
        <f>HYPERLINK("http://www.relevovideogames.com/2010/03/invasion-of-zombie-monsters.html"," Lien")</f>
        <v> Lien</v>
      </c>
      <c r="C779" s="13">
        <v>2010</v>
      </c>
      <c r="D779" s="13" t="s">
        <v>1051</v>
      </c>
      <c r="E779" s="14" t="s">
        <v>51</v>
      </c>
      <c r="F779" s="14" t="s">
        <v>21</v>
      </c>
      <c r="G779" s="13" t="s">
        <v>18</v>
      </c>
    </row>
    <row r="780" spans="1:7" ht="12.75">
      <c r="A780" s="17" t="s">
        <v>1052</v>
      </c>
      <c r="B780" s="18" t="str">
        <f>HYPERLINK("http://www.generation-msx.nl/msxdb/softwareinfo/3253"," Lien")</f>
        <v> Lien</v>
      </c>
      <c r="C780" s="18">
        <v>1986</v>
      </c>
      <c r="D780" s="18" t="s">
        <v>167</v>
      </c>
      <c r="E780" s="19" t="s">
        <v>43</v>
      </c>
      <c r="F780" s="19" t="s">
        <v>10</v>
      </c>
      <c r="G780" s="18" t="s">
        <v>11</v>
      </c>
    </row>
    <row r="781" spans="1:7" ht="12.75">
      <c r="A781" s="17" t="s">
        <v>1053</v>
      </c>
      <c r="B781" s="18"/>
      <c r="C781" s="18">
        <v>1986</v>
      </c>
      <c r="D781" s="18" t="s">
        <v>1054</v>
      </c>
      <c r="E781" s="19" t="s">
        <v>24</v>
      </c>
      <c r="F781" s="19" t="s">
        <v>102</v>
      </c>
      <c r="G781" s="18" t="s">
        <v>11</v>
      </c>
    </row>
    <row r="782" spans="1:7" ht="12.75">
      <c r="A782" s="17" t="s">
        <v>1055</v>
      </c>
      <c r="B782" s="18"/>
      <c r="C782" s="18">
        <v>1997</v>
      </c>
      <c r="D782" s="18" t="s">
        <v>1056</v>
      </c>
      <c r="E782" s="19" t="s">
        <v>9</v>
      </c>
      <c r="F782" s="19" t="s">
        <v>102</v>
      </c>
      <c r="G782" s="18" t="s">
        <v>11</v>
      </c>
    </row>
    <row r="783" spans="1:7" ht="12.75">
      <c r="A783" s="17" t="s">
        <v>1057</v>
      </c>
      <c r="B783" s="18" t="str">
        <f>HYPERLINK("http://www.generation-msx.nl/msxdb/softwareinfo/3361"," Lien")</f>
        <v> Lien</v>
      </c>
      <c r="C783" s="18" t="s">
        <v>102</v>
      </c>
      <c r="D783" s="18" t="s">
        <v>85</v>
      </c>
      <c r="E783" s="19" t="s">
        <v>9</v>
      </c>
      <c r="F783" s="19" t="s">
        <v>10</v>
      </c>
      <c r="G783" s="18" t="s">
        <v>11</v>
      </c>
    </row>
    <row r="784" spans="1:7" ht="12.75">
      <c r="A784" s="49" t="s">
        <v>1058</v>
      </c>
      <c r="B784" s="13" t="str">
        <f>HYPERLINK("http://www.generation-msx.nl/msxdb/softwareinfo/892"," Lien")</f>
        <v> Lien</v>
      </c>
      <c r="C784" s="13">
        <v>1987</v>
      </c>
      <c r="D784" s="13" t="s">
        <v>239</v>
      </c>
      <c r="E784" s="14" t="s">
        <v>9</v>
      </c>
      <c r="F784" s="14" t="s">
        <v>21</v>
      </c>
      <c r="G784" s="13" t="s">
        <v>18</v>
      </c>
    </row>
    <row r="785" spans="1:7" ht="12.75">
      <c r="A785" s="17" t="s">
        <v>1059</v>
      </c>
      <c r="B785" s="18" t="str">
        <f>HYPERLINK("http://www.generation-msx.nl/msxdb/softwareinfo/3429"," Lien")</f>
        <v> Lien</v>
      </c>
      <c r="C785" s="18">
        <v>1989</v>
      </c>
      <c r="D785" s="18" t="s">
        <v>64</v>
      </c>
      <c r="E785" s="19" t="s">
        <v>17</v>
      </c>
      <c r="F785" s="19" t="s">
        <v>10</v>
      </c>
      <c r="G785" s="18" t="s">
        <v>11</v>
      </c>
    </row>
    <row r="786" spans="1:7" ht="12.75">
      <c r="A786" s="17" t="s">
        <v>1060</v>
      </c>
      <c r="B786" s="18" t="str">
        <f>HYPERLINK("http://msxdev.msxblue.com/?page_id=305"," Lien")</f>
        <v> Lien</v>
      </c>
      <c r="C786" s="18">
        <v>2007</v>
      </c>
      <c r="D786" s="18" t="s">
        <v>1061</v>
      </c>
      <c r="E786" s="19" t="s">
        <v>17</v>
      </c>
      <c r="F786" s="19" t="s">
        <v>21</v>
      </c>
      <c r="G786" s="18" t="s">
        <v>11</v>
      </c>
    </row>
    <row r="787" spans="1:7" ht="12.75">
      <c r="A787" s="17" t="s">
        <v>1062</v>
      </c>
      <c r="B787" s="18"/>
      <c r="C787" s="18">
        <v>2006</v>
      </c>
      <c r="D787" s="18" t="s">
        <v>1063</v>
      </c>
      <c r="E787" s="19" t="s">
        <v>58</v>
      </c>
      <c r="F787" s="19" t="s">
        <v>102</v>
      </c>
      <c r="G787" s="18" t="s">
        <v>11</v>
      </c>
    </row>
    <row r="788" spans="1:7" ht="12.75">
      <c r="A788" s="36" t="s">
        <v>1064</v>
      </c>
      <c r="B788" s="13" t="str">
        <f>HYPERLINK("http://www.generation-msx.nl/msxdb/softwareinfo/759"," Lien")</f>
        <v> Lien</v>
      </c>
      <c r="C788" s="13">
        <v>1986</v>
      </c>
      <c r="D788" s="13" t="s">
        <v>87</v>
      </c>
      <c r="E788" s="14" t="s">
        <v>51</v>
      </c>
      <c r="F788" s="14" t="s">
        <v>21</v>
      </c>
      <c r="G788" s="13" t="s">
        <v>18</v>
      </c>
    </row>
    <row r="789" spans="1:7" ht="12.75">
      <c r="A789" s="17" t="s">
        <v>1065</v>
      </c>
      <c r="B789" s="18" t="str">
        <f>HYPERLINK("http://www.generation-msx.nl/msxdb/softwareinfo/2098"," Lien")</f>
        <v> Lien</v>
      </c>
      <c r="C789" s="18">
        <v>1989</v>
      </c>
      <c r="D789" s="18" t="s">
        <v>201</v>
      </c>
      <c r="E789" s="19" t="s">
        <v>55</v>
      </c>
      <c r="F789" s="19" t="s">
        <v>10</v>
      </c>
      <c r="G789" s="18" t="s">
        <v>11</v>
      </c>
    </row>
    <row r="790" spans="1:7" ht="12.75">
      <c r="A790" s="17" t="s">
        <v>1066</v>
      </c>
      <c r="B790" s="18" t="str">
        <f>HYPERLINK("http://www.generation-msx.nl/msxdb/softwareinfo/2487"," Lien")</f>
        <v> Lien</v>
      </c>
      <c r="C790" s="128">
        <v>1986</v>
      </c>
      <c r="D790" s="128" t="s">
        <v>198</v>
      </c>
      <c r="E790" s="129" t="s">
        <v>110</v>
      </c>
      <c r="F790" s="129" t="s">
        <v>10</v>
      </c>
      <c r="G790" s="128" t="s">
        <v>18</v>
      </c>
    </row>
    <row r="791" spans="1:7" ht="12.75">
      <c r="A791" s="17" t="s">
        <v>1067</v>
      </c>
      <c r="B791" s="18" t="str">
        <f>HYPERLINK("http://www.generation-msx.nl/msxdb/softwareinfo/2890"," Lien")</f>
        <v> Lien</v>
      </c>
      <c r="C791" s="128">
        <v>1987</v>
      </c>
      <c r="D791" s="128" t="s">
        <v>198</v>
      </c>
      <c r="E791" s="129" t="s">
        <v>110</v>
      </c>
      <c r="F791" s="129" t="s">
        <v>10</v>
      </c>
      <c r="G791" s="128" t="s">
        <v>18</v>
      </c>
    </row>
    <row r="792" spans="1:7" ht="12.75">
      <c r="A792" s="49" t="s">
        <v>1068</v>
      </c>
      <c r="B792" s="13" t="str">
        <f>HYPERLINK("http://www.generation-msx.nl/msxdb/softwareinfo/945"," Lien")</f>
        <v> Lien</v>
      </c>
      <c r="C792" s="86">
        <v>1987</v>
      </c>
      <c r="D792" s="86" t="s">
        <v>26</v>
      </c>
      <c r="E792" s="87" t="s">
        <v>24</v>
      </c>
      <c r="F792" s="87" t="s">
        <v>52</v>
      </c>
      <c r="G792" s="86" t="s">
        <v>18</v>
      </c>
    </row>
    <row r="793" spans="1:7" ht="12.75">
      <c r="A793" s="17" t="s">
        <v>1069</v>
      </c>
      <c r="B793" s="18"/>
      <c r="C793" s="18">
        <v>1986</v>
      </c>
      <c r="D793" s="18" t="s">
        <v>1070</v>
      </c>
      <c r="E793" s="19" t="s">
        <v>51</v>
      </c>
      <c r="F793" s="19" t="s">
        <v>102</v>
      </c>
      <c r="G793" s="18" t="s">
        <v>11</v>
      </c>
    </row>
    <row r="794" spans="1:7" ht="12.75">
      <c r="A794" s="132" t="s">
        <v>1071</v>
      </c>
      <c r="B794" s="18" t="str">
        <f>HYPERLINK("http://www.generation-msx.nl/msxdb/softwareinfo/501"," Lien")</f>
        <v> Lien</v>
      </c>
      <c r="C794" s="18">
        <v>1985</v>
      </c>
      <c r="D794" s="18" t="s">
        <v>23</v>
      </c>
      <c r="E794" s="19" t="s">
        <v>207</v>
      </c>
      <c r="F794" s="19" t="s">
        <v>21</v>
      </c>
      <c r="G794" s="18" t="s">
        <v>11</v>
      </c>
    </row>
    <row r="795" spans="1:7" ht="12.75">
      <c r="A795" s="132" t="s">
        <v>1072</v>
      </c>
      <c r="B795" s="18" t="str">
        <f>HYPERLINK("http://www.generation-msx.nl/msxdb/softwareinfo/947"," Lien")</f>
        <v> Lien</v>
      </c>
      <c r="C795" s="18">
        <v>1987</v>
      </c>
      <c r="D795" s="18" t="s">
        <v>246</v>
      </c>
      <c r="E795" s="19" t="s">
        <v>207</v>
      </c>
      <c r="F795" s="19" t="s">
        <v>21</v>
      </c>
      <c r="G795" s="18" t="s">
        <v>11</v>
      </c>
    </row>
    <row r="796" spans="1:7" ht="12.75">
      <c r="A796" s="132" t="s">
        <v>1073</v>
      </c>
      <c r="B796" s="18" t="str">
        <f>HYPERLINK("http://www.generation-msx.nl/msxdb/softwareinfo/253"," Lien")</f>
        <v> Lien</v>
      </c>
      <c r="C796" s="18">
        <v>1987</v>
      </c>
      <c r="D796" s="134" t="s">
        <v>1074</v>
      </c>
      <c r="E796" s="19" t="s">
        <v>67</v>
      </c>
      <c r="F796" s="19" t="s">
        <v>10</v>
      </c>
      <c r="G796" s="18" t="s">
        <v>11</v>
      </c>
    </row>
    <row r="797" spans="1:7" ht="12.75">
      <c r="A797" s="36" t="s">
        <v>1075</v>
      </c>
      <c r="B797" s="13" t="str">
        <f>HYPERLINK("http://www.generation-msx.nl/msxdb/softwareinfo/3354"," Lien")</f>
        <v> Lien</v>
      </c>
      <c r="C797" s="13">
        <v>1989</v>
      </c>
      <c r="D797" s="13" t="s">
        <v>1076</v>
      </c>
      <c r="E797" s="14" t="s">
        <v>9</v>
      </c>
      <c r="F797" s="14" t="s">
        <v>10</v>
      </c>
      <c r="G797" s="13" t="s">
        <v>18</v>
      </c>
    </row>
    <row r="798" spans="1:7" ht="12.75">
      <c r="A798" s="36" t="s">
        <v>1077</v>
      </c>
      <c r="B798" s="13"/>
      <c r="C798" s="13" t="s">
        <v>102</v>
      </c>
      <c r="D798" s="13" t="s">
        <v>102</v>
      </c>
      <c r="E798" s="14" t="s">
        <v>67</v>
      </c>
      <c r="F798" s="14" t="s">
        <v>102</v>
      </c>
      <c r="G798" s="13" t="s">
        <v>18</v>
      </c>
    </row>
    <row r="799" spans="1:7" ht="12.75">
      <c r="A799" s="17" t="s">
        <v>1078</v>
      </c>
      <c r="B799" s="18" t="str">
        <f>HYPERLINK("http://www.generation-msx.nl/msxdb/softwareinfo/2392"," Lien")</f>
        <v> Lien</v>
      </c>
      <c r="C799" s="18">
        <v>1985</v>
      </c>
      <c r="D799" s="18" t="s">
        <v>66</v>
      </c>
      <c r="E799" s="19" t="s">
        <v>24</v>
      </c>
      <c r="F799" s="19" t="s">
        <v>27</v>
      </c>
      <c r="G799" s="18" t="s">
        <v>11</v>
      </c>
    </row>
    <row r="800" spans="1:7" ht="12.75">
      <c r="A800" s="36" t="s">
        <v>1079</v>
      </c>
      <c r="B800" s="13" t="str">
        <f>HYPERLINK("http://www.generation-msx.nl/msxdb/softwareinfo/2393"," Lien")</f>
        <v> Lien</v>
      </c>
      <c r="C800" s="13">
        <v>1985</v>
      </c>
      <c r="D800" s="13" t="s">
        <v>66</v>
      </c>
      <c r="E800" s="14" t="s">
        <v>9</v>
      </c>
      <c r="F800" s="14" t="s">
        <v>10</v>
      </c>
      <c r="G800" s="13" t="s">
        <v>18</v>
      </c>
    </row>
    <row r="801" spans="1:7" ht="12.75">
      <c r="A801" s="49" t="s">
        <v>1080</v>
      </c>
      <c r="B801" s="13" t="str">
        <f>HYPERLINK("http://www.generation-msx.nl/msxdb/softwareinfo/2765"," Lien")</f>
        <v> Lien</v>
      </c>
      <c r="C801" s="13">
        <v>1985</v>
      </c>
      <c r="D801" s="13" t="s">
        <v>1081</v>
      </c>
      <c r="E801" s="14" t="s">
        <v>51</v>
      </c>
      <c r="F801" s="14" t="s">
        <v>10</v>
      </c>
      <c r="G801" s="13" t="s">
        <v>18</v>
      </c>
    </row>
    <row r="802" spans="1:7" ht="12.75">
      <c r="A802" s="36" t="s">
        <v>1082</v>
      </c>
      <c r="B802" s="13" t="str">
        <f>HYPERLINK("http://www.generation-msx.nl/msxdb/softwareinfo/2757"," Lien")</f>
        <v> Lien</v>
      </c>
      <c r="C802" s="13">
        <v>1985</v>
      </c>
      <c r="D802" s="13" t="s">
        <v>1081</v>
      </c>
      <c r="E802" s="14" t="s">
        <v>51</v>
      </c>
      <c r="F802" s="14" t="s">
        <v>10</v>
      </c>
      <c r="G802" s="13" t="s">
        <v>18</v>
      </c>
    </row>
    <row r="803" spans="1:7" ht="12.75">
      <c r="A803" s="17" t="s">
        <v>1083</v>
      </c>
      <c r="B803" s="18" t="str">
        <f>HYPERLINK("http://www.generation-msx.nl/msxdb/softwareinfo/2941"," Lien")</f>
        <v> Lien</v>
      </c>
      <c r="C803" s="18">
        <v>1985</v>
      </c>
      <c r="D803" s="18" t="s">
        <v>1084</v>
      </c>
      <c r="E803" s="19" t="s">
        <v>51</v>
      </c>
      <c r="F803" s="19" t="s">
        <v>10</v>
      </c>
      <c r="G803" s="18" t="s">
        <v>11</v>
      </c>
    </row>
    <row r="804" spans="1:7" ht="12.75">
      <c r="A804" s="36" t="s">
        <v>1085</v>
      </c>
      <c r="B804" s="13" t="str">
        <f>HYPERLINK("http://www.generation-msx.nl/msxdb/softwareinfo/2594"," Lien")</f>
        <v> Lien</v>
      </c>
      <c r="C804" s="13">
        <v>1986</v>
      </c>
      <c r="D804" s="13" t="s">
        <v>757</v>
      </c>
      <c r="E804" s="14" t="s">
        <v>55</v>
      </c>
      <c r="F804" s="14" t="s">
        <v>10</v>
      </c>
      <c r="G804" s="13" t="s">
        <v>18</v>
      </c>
    </row>
    <row r="805" spans="1:7" ht="12.75">
      <c r="A805" s="36" t="s">
        <v>1086</v>
      </c>
      <c r="B805" s="13" t="str">
        <f>HYPERLINK("http://www.generation-msx.nl/msxdb/softwareinfo/3204"," Lien")</f>
        <v> Lien</v>
      </c>
      <c r="C805" s="13">
        <v>1986</v>
      </c>
      <c r="D805" s="13" t="s">
        <v>757</v>
      </c>
      <c r="E805" s="14" t="s">
        <v>55</v>
      </c>
      <c r="F805" s="14" t="s">
        <v>10</v>
      </c>
      <c r="G805" s="13" t="s">
        <v>18</v>
      </c>
    </row>
    <row r="806" spans="1:7" ht="12.75">
      <c r="A806" s="17" t="s">
        <v>1087</v>
      </c>
      <c r="B806" s="18" t="str">
        <f>HYPERLINK("http://www.generation-msx.nl/msxdb/softwareinfo/3104"," Lien")</f>
        <v> Lien</v>
      </c>
      <c r="C806" s="18">
        <v>1986</v>
      </c>
      <c r="D806" s="18" t="s">
        <v>757</v>
      </c>
      <c r="E806" s="19" t="s">
        <v>55</v>
      </c>
      <c r="F806" s="19" t="s">
        <v>10</v>
      </c>
      <c r="G806" s="18" t="s">
        <v>11</v>
      </c>
    </row>
    <row r="807" spans="1:7" ht="12.75">
      <c r="A807" s="132" t="s">
        <v>1088</v>
      </c>
      <c r="B807" s="18" t="str">
        <f>HYPERLINK("http://www.generation-msx.nl/msxdb/softwareinfo/34"," Lien")</f>
        <v> Lien</v>
      </c>
      <c r="C807" s="18">
        <v>1983</v>
      </c>
      <c r="D807" s="18" t="s">
        <v>89</v>
      </c>
      <c r="E807" s="19" t="s">
        <v>307</v>
      </c>
      <c r="F807" s="19" t="s">
        <v>21</v>
      </c>
      <c r="G807" s="18" t="s">
        <v>11</v>
      </c>
    </row>
    <row r="808" spans="1:7" ht="12.75">
      <c r="A808" s="132" t="s">
        <v>1089</v>
      </c>
      <c r="B808" s="18" t="str">
        <f>HYPERLINK("http://www.generation-msx.nl/msxdb/softwareinfo/172"," Lien")</f>
        <v> Lien</v>
      </c>
      <c r="C808" s="18">
        <v>1984</v>
      </c>
      <c r="D808" s="18" t="s">
        <v>89</v>
      </c>
      <c r="E808" s="19" t="s">
        <v>207</v>
      </c>
      <c r="F808" s="19" t="s">
        <v>21</v>
      </c>
      <c r="G808" s="18" t="s">
        <v>11</v>
      </c>
    </row>
    <row r="809" spans="1:7" ht="12.75">
      <c r="A809" s="36" t="s">
        <v>1090</v>
      </c>
      <c r="B809" s="13" t="str">
        <f>HYPERLINK("http://www.generation-msx.nl/msxdb/softwareinfo/2754"," Lien")</f>
        <v> Lien</v>
      </c>
      <c r="C809" s="13">
        <v>1989</v>
      </c>
      <c r="D809" s="13" t="s">
        <v>666</v>
      </c>
      <c r="E809" s="14" t="s">
        <v>9</v>
      </c>
      <c r="F809" s="14" t="s">
        <v>10</v>
      </c>
      <c r="G809" s="13" t="s">
        <v>18</v>
      </c>
    </row>
    <row r="810" spans="1:7" ht="12.75">
      <c r="A810" s="17" t="s">
        <v>1091</v>
      </c>
      <c r="B810" s="18" t="str">
        <f>HYPERLINK("http://www.generation-msx.nl/msxdb/softwareinfo/2212"," Lien")</f>
        <v> Lien</v>
      </c>
      <c r="C810" s="18">
        <v>1986</v>
      </c>
      <c r="D810" s="18" t="s">
        <v>154</v>
      </c>
      <c r="E810" s="19" t="s">
        <v>9</v>
      </c>
      <c r="F810" s="19" t="s">
        <v>10</v>
      </c>
      <c r="G810" s="18" t="s">
        <v>11</v>
      </c>
    </row>
    <row r="811" spans="1:7" ht="12.75">
      <c r="A811" s="17" t="s">
        <v>1092</v>
      </c>
      <c r="B811" s="18" t="str">
        <f>HYPERLINK("http://www.generation-msx.nl/msxdb/softwareinfo/2161"," Lien")</f>
        <v> Lien</v>
      </c>
      <c r="C811" s="18">
        <v>1986</v>
      </c>
      <c r="D811" s="18" t="s">
        <v>302</v>
      </c>
      <c r="E811" s="19" t="s">
        <v>9</v>
      </c>
      <c r="F811" s="19" t="s">
        <v>10</v>
      </c>
      <c r="G811" s="18" t="s">
        <v>11</v>
      </c>
    </row>
    <row r="812" spans="1:7" ht="12.75">
      <c r="A812" s="17" t="s">
        <v>1093</v>
      </c>
      <c r="B812" s="18"/>
      <c r="C812" s="18" t="s">
        <v>102</v>
      </c>
      <c r="D812" s="18" t="s">
        <v>102</v>
      </c>
      <c r="E812" s="19" t="s">
        <v>43</v>
      </c>
      <c r="F812" s="19" t="s">
        <v>102</v>
      </c>
      <c r="G812" s="18" t="s">
        <v>11</v>
      </c>
    </row>
    <row r="813" spans="1:7" ht="12.75">
      <c r="A813" s="36" t="s">
        <v>1094</v>
      </c>
      <c r="B813" s="13" t="str">
        <f>HYPERLINK("http://www.generation-msx.nl/msxdb/softwareinfo/3108"," Lien")</f>
        <v> Lien</v>
      </c>
      <c r="C813" s="13">
        <v>1985</v>
      </c>
      <c r="D813" s="13" t="s">
        <v>340</v>
      </c>
      <c r="E813" s="14" t="s">
        <v>55</v>
      </c>
      <c r="F813" s="14" t="s">
        <v>10</v>
      </c>
      <c r="G813" s="13" t="s">
        <v>18</v>
      </c>
    </row>
    <row r="814" spans="1:7" ht="12.75">
      <c r="A814" s="17" t="s">
        <v>1095</v>
      </c>
      <c r="B814" s="18" t="str">
        <f>HYPERLINK("http://www.generation-msx.nl/msxdb/softwareinfo/2238"," Lien")</f>
        <v> Lien</v>
      </c>
      <c r="C814" s="18">
        <v>1989</v>
      </c>
      <c r="D814" s="18" t="s">
        <v>385</v>
      </c>
      <c r="E814" s="19" t="s">
        <v>67</v>
      </c>
      <c r="F814" s="19" t="s">
        <v>10</v>
      </c>
      <c r="G814" s="18" t="s">
        <v>11</v>
      </c>
    </row>
    <row r="815" spans="1:7" ht="12.75">
      <c r="A815" s="17" t="s">
        <v>1096</v>
      </c>
      <c r="B815" s="18"/>
      <c r="C815" s="18">
        <v>1987</v>
      </c>
      <c r="D815" s="18" t="s">
        <v>1097</v>
      </c>
      <c r="E815" s="19" t="s">
        <v>9</v>
      </c>
      <c r="F815" s="19" t="s">
        <v>102</v>
      </c>
      <c r="G815" s="18" t="s">
        <v>18</v>
      </c>
    </row>
    <row r="816" spans="1:7" ht="12.75">
      <c r="A816" s="49" t="s">
        <v>1098</v>
      </c>
      <c r="B816" s="13" t="str">
        <f>HYPERLINK("http://www.generation-msx.nl/msxdb/softwareinfo/502"," Lien")</f>
        <v> Lien</v>
      </c>
      <c r="C816" s="13">
        <v>1985</v>
      </c>
      <c r="D816" s="13" t="s">
        <v>23</v>
      </c>
      <c r="E816" s="14" t="s">
        <v>275</v>
      </c>
      <c r="F816" s="14" t="s">
        <v>21</v>
      </c>
      <c r="G816" s="13" t="s">
        <v>18</v>
      </c>
    </row>
    <row r="817" spans="1:7" ht="12.75">
      <c r="A817" s="132" t="s">
        <v>1099</v>
      </c>
      <c r="B817" s="18" t="str">
        <f>HYPERLINK("http://www.generation-msx.nl/msxdb/softwareinfo/176"," Lien")</f>
        <v> Lien</v>
      </c>
      <c r="C817" s="18">
        <v>1984</v>
      </c>
      <c r="D817" s="18" t="s">
        <v>317</v>
      </c>
      <c r="E817" s="19" t="s">
        <v>9</v>
      </c>
      <c r="F817" s="19" t="s">
        <v>21</v>
      </c>
      <c r="G817" s="18" t="s">
        <v>11</v>
      </c>
    </row>
    <row r="818" spans="1:7" ht="12.75">
      <c r="A818" s="135" t="s">
        <v>1100</v>
      </c>
      <c r="B818" s="136" t="str">
        <f>HYPERLINK("http://www.generation-msx.nl/msxdb/softwareinfo/2673"," Lien")</f>
        <v> Lien</v>
      </c>
      <c r="C818" s="136">
        <v>1985</v>
      </c>
      <c r="D818" s="136" t="s">
        <v>841</v>
      </c>
      <c r="E818" s="137" t="s">
        <v>43</v>
      </c>
      <c r="F818" s="137" t="s">
        <v>10</v>
      </c>
      <c r="G818" s="136" t="s">
        <v>11</v>
      </c>
    </row>
    <row r="819" spans="1:7" ht="12.75">
      <c r="A819" s="36" t="s">
        <v>1101</v>
      </c>
      <c r="B819" s="13" t="str">
        <f>HYPERLINK("http://www.generation-msx.nl/msxdb/softwareinfo/503"," Lien")</f>
        <v> Lien</v>
      </c>
      <c r="C819" s="13">
        <v>1985</v>
      </c>
      <c r="D819" s="13" t="s">
        <v>317</v>
      </c>
      <c r="E819" s="14" t="s">
        <v>51</v>
      </c>
      <c r="F819" s="14" t="s">
        <v>10</v>
      </c>
      <c r="G819" s="13" t="s">
        <v>18</v>
      </c>
    </row>
    <row r="820" spans="1:7" ht="12.75">
      <c r="A820" s="17" t="s">
        <v>1102</v>
      </c>
      <c r="B820" s="18"/>
      <c r="C820" s="18">
        <v>1985</v>
      </c>
      <c r="D820" s="18" t="s">
        <v>1103</v>
      </c>
      <c r="E820" s="19" t="s">
        <v>307</v>
      </c>
      <c r="F820" s="19" t="s">
        <v>102</v>
      </c>
      <c r="G820" s="18" t="s">
        <v>11</v>
      </c>
    </row>
    <row r="821" spans="1:7" ht="12.75">
      <c r="A821" s="36" t="s">
        <v>1104</v>
      </c>
      <c r="B821" s="13" t="str">
        <f>HYPERLINK("http://www.generation-msx.nl/msxdb/softwareinfo/2720"," Lien")</f>
        <v> Lien</v>
      </c>
      <c r="C821" s="13">
        <v>1986</v>
      </c>
      <c r="D821" s="13" t="s">
        <v>404</v>
      </c>
      <c r="E821" s="14" t="s">
        <v>9</v>
      </c>
      <c r="F821" s="14" t="s">
        <v>10</v>
      </c>
      <c r="G821" s="13" t="s">
        <v>18</v>
      </c>
    </row>
    <row r="822" spans="1:7" ht="12.75">
      <c r="A822" s="17" t="s">
        <v>1105</v>
      </c>
      <c r="B822" s="18" t="str">
        <f>HYPERLINK("http://www.generation-msx.nl/msxdb/softwareinfo/175"," Lien")</f>
        <v> Lien</v>
      </c>
      <c r="C822" s="18">
        <v>1984</v>
      </c>
      <c r="D822" s="18" t="s">
        <v>89</v>
      </c>
      <c r="E822" s="19" t="s">
        <v>9</v>
      </c>
      <c r="F822" s="19" t="s">
        <v>10</v>
      </c>
      <c r="G822" s="18" t="s">
        <v>11</v>
      </c>
    </row>
    <row r="823" spans="1:7" ht="12.75">
      <c r="A823" s="17" t="s">
        <v>1106</v>
      </c>
      <c r="B823" s="18"/>
      <c r="C823" s="18" t="s">
        <v>102</v>
      </c>
      <c r="D823" s="18" t="s">
        <v>102</v>
      </c>
      <c r="E823" s="19" t="s">
        <v>9</v>
      </c>
      <c r="F823" s="19" t="s">
        <v>102</v>
      </c>
      <c r="G823" s="18" t="s">
        <v>11</v>
      </c>
    </row>
    <row r="824" spans="1:7" ht="12.75">
      <c r="A824" s="17" t="s">
        <v>1107</v>
      </c>
      <c r="B824" s="18" t="str">
        <f>HYPERLINK("http://www.generation-msx.nl/msxdb/softwareinfo/2345"," Lien")</f>
        <v> Lien</v>
      </c>
      <c r="C824" s="18">
        <v>1990</v>
      </c>
      <c r="D824" s="18" t="s">
        <v>96</v>
      </c>
      <c r="E824" s="19" t="s">
        <v>9</v>
      </c>
      <c r="F824" s="19" t="s">
        <v>10</v>
      </c>
      <c r="G824" s="18" t="s">
        <v>11</v>
      </c>
    </row>
    <row r="825" spans="1:7" ht="12.75">
      <c r="A825" s="36" t="s">
        <v>1108</v>
      </c>
      <c r="B825" s="13" t="str">
        <f>HYPERLINK("http://www.generation-msx.nl/msxdb/softwareinfo/177"," Lien")</f>
        <v> Lien</v>
      </c>
      <c r="C825" s="13">
        <v>1983</v>
      </c>
      <c r="D825" s="13" t="s">
        <v>62</v>
      </c>
      <c r="E825" s="14" t="s">
        <v>24</v>
      </c>
      <c r="F825" s="14" t="s">
        <v>21</v>
      </c>
      <c r="G825" s="13" t="s">
        <v>18</v>
      </c>
    </row>
    <row r="826" spans="1:7" ht="12.75">
      <c r="A826" s="132" t="s">
        <v>1109</v>
      </c>
      <c r="B826" s="18"/>
      <c r="C826" s="18">
        <v>1984</v>
      </c>
      <c r="D826" s="18" t="s">
        <v>26</v>
      </c>
      <c r="E826" s="19" t="s">
        <v>207</v>
      </c>
      <c r="F826" s="19" t="s">
        <v>102</v>
      </c>
      <c r="G826" s="18" t="s">
        <v>11</v>
      </c>
    </row>
    <row r="827" spans="1:7" ht="12.75">
      <c r="A827" s="17" t="s">
        <v>1110</v>
      </c>
      <c r="B827" s="18" t="str">
        <f>HYPERLINK("http://www.generation-msx.nl/msxdb/softwareinfo/729"," Lien")</f>
        <v> Lien</v>
      </c>
      <c r="C827" s="18">
        <v>1986</v>
      </c>
      <c r="D827" s="18" t="s">
        <v>169</v>
      </c>
      <c r="E827" s="19" t="s">
        <v>9</v>
      </c>
      <c r="F827" s="19" t="s">
        <v>21</v>
      </c>
      <c r="G827" s="18" t="s">
        <v>18</v>
      </c>
    </row>
    <row r="828" spans="1:7" ht="12.75">
      <c r="A828" s="132" t="s">
        <v>1111</v>
      </c>
      <c r="B828" s="18" t="str">
        <f>HYPERLINK("http://www.generation-msx.nl/msxdb/softwareinfo/423"," Lien")</f>
        <v> Lien</v>
      </c>
      <c r="C828" s="128">
        <v>1984</v>
      </c>
      <c r="D828" s="128" t="s">
        <v>215</v>
      </c>
      <c r="E828" s="129" t="s">
        <v>67</v>
      </c>
      <c r="F828" s="129" t="s">
        <v>21</v>
      </c>
      <c r="G828" s="128" t="s">
        <v>11</v>
      </c>
    </row>
    <row r="829" spans="1:7" ht="12.75">
      <c r="A829" s="132" t="s">
        <v>1112</v>
      </c>
      <c r="B829" s="18" t="str">
        <f>HYPERLINK("http://www.generation-msx.nl/msxdb/softwareinfo/731"," Lien")</f>
        <v> Lien</v>
      </c>
      <c r="C829" s="128">
        <v>1986</v>
      </c>
      <c r="D829" s="128" t="s">
        <v>151</v>
      </c>
      <c r="E829" s="129" t="s">
        <v>55</v>
      </c>
      <c r="F829" s="129" t="s">
        <v>52</v>
      </c>
      <c r="G829" s="128" t="s">
        <v>11</v>
      </c>
    </row>
    <row r="830" spans="1:7" ht="12.75">
      <c r="A830" s="17" t="s">
        <v>1113</v>
      </c>
      <c r="B830" s="128"/>
      <c r="C830" s="128" t="s">
        <v>102</v>
      </c>
      <c r="D830" s="128" t="s">
        <v>1114</v>
      </c>
      <c r="E830" s="129" t="s">
        <v>40</v>
      </c>
      <c r="F830" s="129" t="s">
        <v>102</v>
      </c>
      <c r="G830" s="128" t="s">
        <v>11</v>
      </c>
    </row>
    <row r="831" spans="1:7" ht="12.75">
      <c r="A831" s="17" t="s">
        <v>1115</v>
      </c>
      <c r="B831" s="18"/>
      <c r="C831" s="18">
        <v>1985</v>
      </c>
      <c r="D831" s="18" t="s">
        <v>1116</v>
      </c>
      <c r="E831" s="19" t="s">
        <v>43</v>
      </c>
      <c r="F831" s="19" t="s">
        <v>102</v>
      </c>
      <c r="G831" s="18" t="s">
        <v>11</v>
      </c>
    </row>
    <row r="832" spans="1:7" ht="12.75">
      <c r="A832" s="17" t="s">
        <v>1117</v>
      </c>
      <c r="B832" s="18" t="str">
        <f>HYPERLINK("http://www.generation-msx.nl/msxdb/softwareinfo/2178"," Lien")</f>
        <v> Lien</v>
      </c>
      <c r="C832" s="18">
        <v>1989</v>
      </c>
      <c r="D832" s="18" t="s">
        <v>634</v>
      </c>
      <c r="E832" s="19" t="s">
        <v>55</v>
      </c>
      <c r="F832" s="19" t="s">
        <v>102</v>
      </c>
      <c r="G832" s="18" t="s">
        <v>11</v>
      </c>
    </row>
    <row r="833" spans="1:7" ht="12.75">
      <c r="A833" s="132" t="s">
        <v>1118</v>
      </c>
      <c r="B833" s="18" t="str">
        <f>HYPERLINK("http://www.generation-msx.nl/msxdb/softwareinfo/753"," Lien")</f>
        <v> Lien</v>
      </c>
      <c r="C833" s="18">
        <v>1986</v>
      </c>
      <c r="D833" s="18" t="s">
        <v>1119</v>
      </c>
      <c r="E833" s="19" t="s">
        <v>17</v>
      </c>
      <c r="F833" s="19" t="s">
        <v>27</v>
      </c>
      <c r="G833" s="18" t="s">
        <v>11</v>
      </c>
    </row>
    <row r="834" spans="1:7" ht="12.75">
      <c r="A834" s="36" t="s">
        <v>1120</v>
      </c>
      <c r="B834" s="13" t="str">
        <f>HYPERLINK("http://www.generation-msx.nl/msxdb/softwareinfo/747"," Lien")</f>
        <v> Lien</v>
      </c>
      <c r="C834" s="13">
        <v>1986</v>
      </c>
      <c r="D834" s="13" t="s">
        <v>239</v>
      </c>
      <c r="E834" s="14" t="s">
        <v>9</v>
      </c>
      <c r="F834" s="14" t="s">
        <v>21</v>
      </c>
      <c r="G834" s="13" t="s">
        <v>18</v>
      </c>
    </row>
    <row r="835" spans="1:7" ht="12.75">
      <c r="A835" s="17" t="s">
        <v>1117</v>
      </c>
      <c r="B835" s="18" t="str">
        <f>HYPERLINK("http://www.generation-msx.nl/msxdb/softwareinfo/2178"," Lien")</f>
        <v> Lien</v>
      </c>
      <c r="C835" s="18">
        <v>1989</v>
      </c>
      <c r="D835" s="18" t="s">
        <v>634</v>
      </c>
      <c r="E835" s="19" t="s">
        <v>55</v>
      </c>
      <c r="F835" s="19" t="s">
        <v>10</v>
      </c>
      <c r="G835" s="18" t="s">
        <v>11</v>
      </c>
    </row>
    <row r="836" spans="1:7" ht="12.75">
      <c r="A836" s="36" t="s">
        <v>1121</v>
      </c>
      <c r="B836" s="13" t="str">
        <f>HYPERLINK("http://www.generation-msx.nl/msxdb/softwareinfo/133"," Lien")</f>
        <v> Lien</v>
      </c>
      <c r="C836" s="13">
        <v>1984</v>
      </c>
      <c r="D836" s="13" t="s">
        <v>109</v>
      </c>
      <c r="E836" s="14" t="s">
        <v>9</v>
      </c>
      <c r="F836" s="14" t="s">
        <v>27</v>
      </c>
      <c r="G836" s="13" t="s">
        <v>18</v>
      </c>
    </row>
    <row r="837" spans="1:7" ht="12.75">
      <c r="A837" s="17" t="s">
        <v>1122</v>
      </c>
      <c r="B837" s="18" t="str">
        <f>HYPERLINK("http://www.generation-msx.nl/msxdb/softwareinfo/3415"," Lien")</f>
        <v> Lien</v>
      </c>
      <c r="C837" s="18">
        <v>1989</v>
      </c>
      <c r="D837" s="18" t="s">
        <v>1123</v>
      </c>
      <c r="E837" s="19" t="s">
        <v>51</v>
      </c>
      <c r="F837" s="19" t="s">
        <v>10</v>
      </c>
      <c r="G837" s="18" t="s">
        <v>11</v>
      </c>
    </row>
    <row r="838" spans="1:7" ht="12.75">
      <c r="A838" s="17" t="s">
        <v>1124</v>
      </c>
      <c r="B838" s="18" t="str">
        <f>HYPERLINK("http://www.generation-msx.nl/msxdb/softwareinfo/926"," Lien")</f>
        <v> Lien</v>
      </c>
      <c r="C838" s="18">
        <v>1986</v>
      </c>
      <c r="D838" s="18" t="s">
        <v>66</v>
      </c>
      <c r="E838" s="19" t="s">
        <v>307</v>
      </c>
      <c r="F838" s="19" t="s">
        <v>27</v>
      </c>
      <c r="G838" s="18" t="s">
        <v>11</v>
      </c>
    </row>
    <row r="839" spans="1:7" ht="12.75">
      <c r="A839" s="17" t="s">
        <v>1125</v>
      </c>
      <c r="B839" s="18" t="str">
        <f>HYPERLINK("http://www.generation-msx.nl/msxdb/softwareinfo/22"," Lien")</f>
        <v> Lien</v>
      </c>
      <c r="C839" s="18">
        <v>1983</v>
      </c>
      <c r="D839" s="18" t="s">
        <v>26</v>
      </c>
      <c r="E839" s="19" t="s">
        <v>24</v>
      </c>
      <c r="F839" s="19" t="s">
        <v>10</v>
      </c>
      <c r="G839" s="18" t="s">
        <v>11</v>
      </c>
    </row>
    <row r="840" spans="1:7" ht="12.75">
      <c r="A840" s="17" t="s">
        <v>1126</v>
      </c>
      <c r="B840" s="18"/>
      <c r="C840" s="18" t="s">
        <v>102</v>
      </c>
      <c r="D840" s="18" t="s">
        <v>102</v>
      </c>
      <c r="E840" s="19" t="s">
        <v>51</v>
      </c>
      <c r="F840" s="19" t="s">
        <v>102</v>
      </c>
      <c r="G840" s="18" t="s">
        <v>11</v>
      </c>
    </row>
    <row r="841" spans="1:7" ht="12.75">
      <c r="A841" s="49" t="s">
        <v>1127</v>
      </c>
      <c r="B841" s="13" t="str">
        <f>HYPERLINK("http://www.generation-msx.nl/msxdb/softwareinfo/147"," Lien")</f>
        <v> Lien</v>
      </c>
      <c r="C841" s="13">
        <v>1984</v>
      </c>
      <c r="D841" s="13" t="s">
        <v>344</v>
      </c>
      <c r="E841" s="14" t="s">
        <v>24</v>
      </c>
      <c r="F841" s="14" t="s">
        <v>27</v>
      </c>
      <c r="G841" s="13" t="s">
        <v>18</v>
      </c>
    </row>
    <row r="842" spans="1:7" ht="12.75">
      <c r="A842" s="17" t="s">
        <v>1128</v>
      </c>
      <c r="B842" s="18" t="str">
        <f>HYPERLINK("http://www.generation-msx.nl/msxdb/softwareinfo/3224"," Lien")</f>
        <v> Lien</v>
      </c>
      <c r="C842" s="18">
        <v>1986</v>
      </c>
      <c r="D842" s="18" t="s">
        <v>85</v>
      </c>
      <c r="E842" s="19" t="s">
        <v>51</v>
      </c>
      <c r="F842" s="19" t="s">
        <v>10</v>
      </c>
      <c r="G842" s="18" t="s">
        <v>11</v>
      </c>
    </row>
    <row r="843" spans="1:7" ht="12.75">
      <c r="A843" s="49" t="s">
        <v>1129</v>
      </c>
      <c r="B843" s="13" t="str">
        <f>HYPERLINK("http://www.generation-msx.nl/msxdb/softwareinfo/740"," Lien")</f>
        <v> Lien</v>
      </c>
      <c r="C843" s="13">
        <v>1986</v>
      </c>
      <c r="D843" s="13" t="s">
        <v>125</v>
      </c>
      <c r="E843" s="14" t="s">
        <v>24</v>
      </c>
      <c r="F843" s="14" t="s">
        <v>52</v>
      </c>
      <c r="G843" s="13" t="s">
        <v>18</v>
      </c>
    </row>
    <row r="844" spans="1:7" ht="12.75">
      <c r="A844" s="36" t="s">
        <v>1130</v>
      </c>
      <c r="B844" s="13" t="str">
        <f>HYPERLINK("http://www.generation-msx.nl/msxdb/softwareinfo/406"," Lien")</f>
        <v> Lien</v>
      </c>
      <c r="C844" s="13">
        <v>1985</v>
      </c>
      <c r="D844" s="13" t="s">
        <v>62</v>
      </c>
      <c r="E844" s="14" t="s">
        <v>307</v>
      </c>
      <c r="F844" s="14" t="s">
        <v>21</v>
      </c>
      <c r="G844" s="13" t="s">
        <v>18</v>
      </c>
    </row>
    <row r="845" spans="1:7" ht="12.75">
      <c r="A845" s="49" t="s">
        <v>1131</v>
      </c>
      <c r="B845" s="13" t="str">
        <f>HYPERLINK("http://www.generation-msx.nl/msxdb/softwareinfo/1078"," Lien")</f>
        <v> Lien</v>
      </c>
      <c r="C845" s="13">
        <v>1988</v>
      </c>
      <c r="D845" s="13" t="s">
        <v>62</v>
      </c>
      <c r="E845" s="14" t="s">
        <v>307</v>
      </c>
      <c r="F845" s="14" t="s">
        <v>52</v>
      </c>
      <c r="G845" s="13" t="s">
        <v>18</v>
      </c>
    </row>
    <row r="846" spans="1:7" ht="12.75">
      <c r="A846" s="36" t="s">
        <v>1132</v>
      </c>
      <c r="B846" s="13" t="str">
        <f>HYPERLINK("http://www.generation-msx.nl/msxdb/softwareinfo/3088"," Lien")</f>
        <v> Lien</v>
      </c>
      <c r="C846" s="13">
        <v>1985</v>
      </c>
      <c r="D846" s="13" t="s">
        <v>62</v>
      </c>
      <c r="E846" s="14" t="s">
        <v>307</v>
      </c>
      <c r="F846" s="14" t="s">
        <v>48</v>
      </c>
      <c r="G846" s="13" t="s">
        <v>18</v>
      </c>
    </row>
    <row r="847" spans="1:7" ht="12.75">
      <c r="A847" s="17" t="s">
        <v>1133</v>
      </c>
      <c r="B847" s="18" t="str">
        <f>HYPERLINK("http://www.generation-msx.nl/msxdb/softwareinfo/2598"," Lien")</f>
        <v> Lien</v>
      </c>
      <c r="C847" s="18">
        <v>1986</v>
      </c>
      <c r="D847" s="18" t="s">
        <v>1134</v>
      </c>
      <c r="E847" s="19" t="s">
        <v>79</v>
      </c>
      <c r="F847" s="19" t="s">
        <v>1135</v>
      </c>
      <c r="G847" s="18" t="s">
        <v>11</v>
      </c>
    </row>
    <row r="848" spans="1:7" ht="12.75">
      <c r="A848" s="36" t="s">
        <v>1136</v>
      </c>
      <c r="B848" s="13" t="str">
        <f>HYPERLINK("http://www.generation-msx.nl/msxdb/softwareinfo/443"," Lien")</f>
        <v> Lien</v>
      </c>
      <c r="C848" s="13">
        <v>1985</v>
      </c>
      <c r="D848" s="13" t="s">
        <v>277</v>
      </c>
      <c r="E848" s="14" t="s">
        <v>9</v>
      </c>
      <c r="F848" s="14" t="s">
        <v>21</v>
      </c>
      <c r="G848" s="13" t="s">
        <v>18</v>
      </c>
    </row>
    <row r="849" spans="1:7" ht="12.75">
      <c r="A849" s="17" t="s">
        <v>1137</v>
      </c>
      <c r="B849" s="18" t="str">
        <f>HYPERLINK("http://www.generation-msx.nl/msxdb/softwareinfo/2639"," Lien")</f>
        <v> Lien</v>
      </c>
      <c r="C849" s="18">
        <v>1988</v>
      </c>
      <c r="D849" s="18" t="s">
        <v>1138</v>
      </c>
      <c r="E849" s="19" t="s">
        <v>40</v>
      </c>
      <c r="F849" s="19" t="s">
        <v>48</v>
      </c>
      <c r="G849" s="18" t="s">
        <v>11</v>
      </c>
    </row>
    <row r="850" spans="1:7" ht="12.75">
      <c r="A850" s="36" t="s">
        <v>1139</v>
      </c>
      <c r="B850" s="13" t="str">
        <f>HYPERLINK("http://www.generation-msx.nl/msxdb/softwareinfo/2690"," Lien")</f>
        <v> Lien</v>
      </c>
      <c r="C850" s="13">
        <v>1990</v>
      </c>
      <c r="D850" s="13" t="s">
        <v>8</v>
      </c>
      <c r="E850" s="14" t="s">
        <v>307</v>
      </c>
      <c r="F850" s="14" t="s">
        <v>10</v>
      </c>
      <c r="G850" s="13" t="s">
        <v>18</v>
      </c>
    </row>
    <row r="851" spans="1:7" ht="12.75">
      <c r="A851" s="17" t="s">
        <v>1140</v>
      </c>
      <c r="B851" s="18"/>
      <c r="C851" s="18" t="s">
        <v>102</v>
      </c>
      <c r="D851" s="18" t="s">
        <v>102</v>
      </c>
      <c r="E851" s="19" t="s">
        <v>9</v>
      </c>
      <c r="F851" s="19" t="s">
        <v>102</v>
      </c>
      <c r="G851" s="18" t="s">
        <v>11</v>
      </c>
    </row>
    <row r="852" spans="1:7" ht="12.75">
      <c r="A852" s="17" t="s">
        <v>1141</v>
      </c>
      <c r="B852" s="18" t="str">
        <f>HYPERLINK("http://www.generation-msx.nl/msxdb/softwareinfo/2213"," Lien")</f>
        <v> Lien</v>
      </c>
      <c r="C852" s="18">
        <v>1987</v>
      </c>
      <c r="D852" s="18" t="s">
        <v>154</v>
      </c>
      <c r="E852" s="19" t="s">
        <v>110</v>
      </c>
      <c r="F852" s="19" t="s">
        <v>10</v>
      </c>
      <c r="G852" s="18" t="s">
        <v>11</v>
      </c>
    </row>
    <row r="853" spans="1:7" ht="12.75">
      <c r="A853" s="36" t="s">
        <v>1142</v>
      </c>
      <c r="B853" s="13" t="str">
        <f>HYPERLINK("http://www.generation-msx.nl/msxdb/softwareinfo/810"," Lien")</f>
        <v> Lien</v>
      </c>
      <c r="C853" s="13">
        <v>1985</v>
      </c>
      <c r="D853" s="13" t="s">
        <v>119</v>
      </c>
      <c r="E853" s="14" t="s">
        <v>110</v>
      </c>
      <c r="F853" s="14" t="s">
        <v>27</v>
      </c>
      <c r="G853" s="13" t="s">
        <v>18</v>
      </c>
    </row>
    <row r="854" spans="1:7" ht="12.75">
      <c r="A854" s="17" t="s">
        <v>1143</v>
      </c>
      <c r="B854" s="18" t="str">
        <f>HYPERLINK("http://www.generation-msx.nl/msxdb/softwareinfo/3321"," Lien")</f>
        <v> Lien</v>
      </c>
      <c r="C854" s="18">
        <v>1987</v>
      </c>
      <c r="D854" s="18" t="s">
        <v>757</v>
      </c>
      <c r="E854" s="19" t="s">
        <v>55</v>
      </c>
      <c r="F854" s="19" t="s">
        <v>10</v>
      </c>
      <c r="G854" s="18" t="s">
        <v>11</v>
      </c>
    </row>
    <row r="855" spans="1:7" ht="12.75">
      <c r="A855" s="17" t="s">
        <v>1144</v>
      </c>
      <c r="B855" s="18"/>
      <c r="C855" s="18">
        <v>1987</v>
      </c>
      <c r="D855" s="18" t="s">
        <v>757</v>
      </c>
      <c r="E855" s="19" t="s">
        <v>55</v>
      </c>
      <c r="F855" s="19" t="s">
        <v>10</v>
      </c>
      <c r="G855" s="18" t="s">
        <v>11</v>
      </c>
    </row>
    <row r="856" spans="1:7" ht="12.75">
      <c r="A856" s="17" t="s">
        <v>1145</v>
      </c>
      <c r="B856" s="18"/>
      <c r="C856" s="18">
        <v>1987</v>
      </c>
      <c r="D856" s="18" t="s">
        <v>757</v>
      </c>
      <c r="E856" s="19" t="s">
        <v>55</v>
      </c>
      <c r="F856" s="19" t="s">
        <v>10</v>
      </c>
      <c r="G856" s="18" t="s">
        <v>11</v>
      </c>
    </row>
    <row r="857" spans="1:7" ht="12.75">
      <c r="A857" s="36" t="s">
        <v>1146</v>
      </c>
      <c r="B857" s="13" t="str">
        <f>HYPERLINK("http://www.generation-msx.nl/msxdb/softwareinfo/2732"," Lien")</f>
        <v> Lien</v>
      </c>
      <c r="C857" s="13">
        <v>1986</v>
      </c>
      <c r="D857" s="13" t="s">
        <v>135</v>
      </c>
      <c r="E857" s="14" t="s">
        <v>110</v>
      </c>
      <c r="F857" s="14" t="s">
        <v>10</v>
      </c>
      <c r="G857" s="13" t="s">
        <v>18</v>
      </c>
    </row>
    <row r="858" spans="1:7" ht="12.75">
      <c r="A858" s="36" t="s">
        <v>1147</v>
      </c>
      <c r="B858" s="13" t="str">
        <f>HYPERLINK("http://www.generation-msx.nl/msxdb/softwareinfo/855"," Lien")</f>
        <v> Lien</v>
      </c>
      <c r="C858" s="13">
        <v>1986</v>
      </c>
      <c r="D858" s="13" t="s">
        <v>62</v>
      </c>
      <c r="E858" s="14" t="s">
        <v>24</v>
      </c>
      <c r="F858" s="14" t="s">
        <v>21</v>
      </c>
      <c r="G858" s="13" t="s">
        <v>18</v>
      </c>
    </row>
    <row r="859" spans="1:7" ht="12.75">
      <c r="A859" s="36" t="s">
        <v>1148</v>
      </c>
      <c r="B859" s="13" t="str">
        <f>HYPERLINK("http://www.generation-msx.nl/msxdb/softwareinfo/916"," Lien")</f>
        <v> Lien</v>
      </c>
      <c r="C859" s="13">
        <v>1987</v>
      </c>
      <c r="D859" s="13" t="s">
        <v>62</v>
      </c>
      <c r="E859" s="14" t="s">
        <v>110</v>
      </c>
      <c r="F859" s="14" t="s">
        <v>52</v>
      </c>
      <c r="G859" s="13" t="s">
        <v>18</v>
      </c>
    </row>
    <row r="860" spans="1:7" ht="12.75">
      <c r="A860" s="49" t="s">
        <v>1149</v>
      </c>
      <c r="B860" s="13" t="str">
        <f>HYPERLINK("http://www.generation-msx.nl/msxdb/softwareinfo/946"," Lien")</f>
        <v> Lien</v>
      </c>
      <c r="C860" s="13">
        <v>1987</v>
      </c>
      <c r="D860" s="13" t="s">
        <v>62</v>
      </c>
      <c r="E860" s="14" t="s">
        <v>55</v>
      </c>
      <c r="F860" s="14" t="s">
        <v>52</v>
      </c>
      <c r="G860" s="13" t="s">
        <v>18</v>
      </c>
    </row>
    <row r="861" spans="1:7" ht="12.75">
      <c r="A861" s="132" t="s">
        <v>1150</v>
      </c>
      <c r="B861" s="18"/>
      <c r="C861" s="18">
        <v>2004</v>
      </c>
      <c r="D861" s="18" t="s">
        <v>1151</v>
      </c>
      <c r="E861" s="19" t="s">
        <v>9</v>
      </c>
      <c r="F861" s="19" t="s">
        <v>21</v>
      </c>
      <c r="G861" s="18" t="s">
        <v>11</v>
      </c>
    </row>
    <row r="862" spans="1:7" ht="12.75">
      <c r="A862" s="132" t="s">
        <v>1152</v>
      </c>
      <c r="B862" s="18" t="str">
        <f>HYPERLINK("http://www.generation-msx.nl/msxdb/softwareinfo/783"," Lien")</f>
        <v> Lien</v>
      </c>
      <c r="C862" s="18">
        <v>1986</v>
      </c>
      <c r="D862" s="18" t="s">
        <v>128</v>
      </c>
      <c r="E862" s="19" t="s">
        <v>207</v>
      </c>
      <c r="F862" s="19" t="s">
        <v>21</v>
      </c>
      <c r="G862" s="18" t="s">
        <v>11</v>
      </c>
    </row>
    <row r="863" spans="1:7" ht="12.75">
      <c r="A863" s="49" t="s">
        <v>1153</v>
      </c>
      <c r="B863" s="13" t="str">
        <f>HYPERLINK("http://www.generation-msx.nl/msxdb/softwareinfo/476"," Lien")</f>
        <v> Lien</v>
      </c>
      <c r="C863" s="13">
        <v>1984</v>
      </c>
      <c r="D863" s="13" t="s">
        <v>62</v>
      </c>
      <c r="E863" s="14" t="s">
        <v>17</v>
      </c>
      <c r="F863" s="14" t="s">
        <v>21</v>
      </c>
      <c r="G863" s="13" t="s">
        <v>18</v>
      </c>
    </row>
    <row r="864" spans="1:7" ht="12.75">
      <c r="A864" s="49" t="s">
        <v>1154</v>
      </c>
      <c r="B864" s="13" t="str">
        <f>HYPERLINK("http://www.generation-msx.nl/msxdb/softwareinfo/477"," Lien")</f>
        <v> Lien</v>
      </c>
      <c r="C864" s="13">
        <v>1985</v>
      </c>
      <c r="D864" s="13" t="s">
        <v>62</v>
      </c>
      <c r="E864" s="14" t="s">
        <v>17</v>
      </c>
      <c r="F864" s="14" t="s">
        <v>21</v>
      </c>
      <c r="G864" s="13" t="s">
        <v>18</v>
      </c>
    </row>
    <row r="865" spans="1:7" ht="12.75">
      <c r="A865" s="36" t="s">
        <v>1155</v>
      </c>
      <c r="B865" s="13" t="str">
        <f>HYPERLINK("http://www.generation-msx.nl/msxdb/softwareinfo/470"," Lien")</f>
        <v> Lien</v>
      </c>
      <c r="C865" s="13">
        <v>1986</v>
      </c>
      <c r="D865" s="13" t="s">
        <v>62</v>
      </c>
      <c r="E865" s="14" t="s">
        <v>886</v>
      </c>
      <c r="F865" s="14" t="s">
        <v>21</v>
      </c>
      <c r="G865" s="13" t="s">
        <v>18</v>
      </c>
    </row>
    <row r="866" spans="1:7" ht="12.75">
      <c r="A866" s="36" t="s">
        <v>1156</v>
      </c>
      <c r="B866" s="13" t="str">
        <f>HYPERLINK("http://www.generation-msx.nl/msxdb/softwareinfo/937"," Lien")</f>
        <v> Lien</v>
      </c>
      <c r="C866" s="13">
        <v>1988</v>
      </c>
      <c r="D866" s="13" t="s">
        <v>62</v>
      </c>
      <c r="E866" s="14" t="s">
        <v>886</v>
      </c>
      <c r="F866" s="14" t="s">
        <v>52</v>
      </c>
      <c r="G866" s="13" t="s">
        <v>18</v>
      </c>
    </row>
    <row r="867" spans="1:7" ht="12.75">
      <c r="A867" s="49" t="s">
        <v>1157</v>
      </c>
      <c r="B867" s="13" t="str">
        <f>HYPERLINK("http://www.generation-msx.nl/msxdb/softwareinfo/471"," Lien")</f>
        <v> Lien</v>
      </c>
      <c r="C867" s="13">
        <v>1985</v>
      </c>
      <c r="D867" s="13" t="s">
        <v>62</v>
      </c>
      <c r="E867" s="14" t="s">
        <v>17</v>
      </c>
      <c r="F867" s="14" t="s">
        <v>21</v>
      </c>
      <c r="G867" s="13" t="s">
        <v>18</v>
      </c>
    </row>
    <row r="868" spans="1:7" ht="12.75">
      <c r="A868" s="132" t="s">
        <v>1158</v>
      </c>
      <c r="B868" s="18" t="str">
        <f>HYPERLINK("http://www.generation-msx.nl/msxdb/softwareinfo/155"," Lien")</f>
        <v> Lien</v>
      </c>
      <c r="C868" s="18">
        <v>1984</v>
      </c>
      <c r="D868" s="18" t="s">
        <v>62</v>
      </c>
      <c r="E868" s="19" t="s">
        <v>207</v>
      </c>
      <c r="F868" s="19" t="s">
        <v>21</v>
      </c>
      <c r="G868" s="18" t="s">
        <v>11</v>
      </c>
    </row>
    <row r="869" spans="1:7" ht="12.75">
      <c r="A869" s="36" t="s">
        <v>1159</v>
      </c>
      <c r="B869" s="13" t="str">
        <f>HYPERLINK("http://www.generation-msx.nl/msxdb/softwareinfo/474"," Lien")</f>
        <v> Lien</v>
      </c>
      <c r="C869" s="13">
        <v>1985</v>
      </c>
      <c r="D869" s="13" t="s">
        <v>62</v>
      </c>
      <c r="E869" s="14" t="s">
        <v>17</v>
      </c>
      <c r="F869" s="14" t="s">
        <v>21</v>
      </c>
      <c r="G869" s="13" t="s">
        <v>18</v>
      </c>
    </row>
    <row r="870" spans="1:7" ht="12.75">
      <c r="A870" s="49" t="s">
        <v>1160</v>
      </c>
      <c r="B870" s="13" t="str">
        <f>HYPERLINK("http://www.generation-msx.nl/msxdb/softwareinfo/475"," Lien")</f>
        <v> Lien</v>
      </c>
      <c r="C870" s="13">
        <v>1985</v>
      </c>
      <c r="D870" s="13" t="s">
        <v>62</v>
      </c>
      <c r="E870" s="14" t="s">
        <v>9</v>
      </c>
      <c r="F870" s="14" t="s">
        <v>329</v>
      </c>
      <c r="G870" s="13" t="s">
        <v>18</v>
      </c>
    </row>
    <row r="871" spans="1:7" ht="12.75">
      <c r="A871" s="36" t="s">
        <v>1161</v>
      </c>
      <c r="B871" s="13" t="str">
        <f>HYPERLINK("http://www.generation-msx.nl/msxdb/softwareinfo/472"," Lien")</f>
        <v> Lien</v>
      </c>
      <c r="C871" s="13">
        <v>1985</v>
      </c>
      <c r="D871" s="13" t="s">
        <v>62</v>
      </c>
      <c r="E871" s="14" t="s">
        <v>17</v>
      </c>
      <c r="F871" s="14" t="s">
        <v>21</v>
      </c>
      <c r="G871" s="13" t="s">
        <v>18</v>
      </c>
    </row>
    <row r="872" spans="1:7" ht="12.75">
      <c r="A872" s="36" t="s">
        <v>1162</v>
      </c>
      <c r="B872" s="13" t="str">
        <f>HYPERLINK("http://www.generation-msx.nl/msxdb/softwareinfo/473"," Lien")</f>
        <v> Lien</v>
      </c>
      <c r="C872" s="13">
        <v>1984</v>
      </c>
      <c r="D872" s="13" t="s">
        <v>62</v>
      </c>
      <c r="E872" s="14" t="s">
        <v>17</v>
      </c>
      <c r="F872" s="14" t="s">
        <v>21</v>
      </c>
      <c r="G872" s="13" t="s">
        <v>18</v>
      </c>
    </row>
    <row r="873" spans="1:7" ht="12.75">
      <c r="A873" s="36" t="s">
        <v>1163</v>
      </c>
      <c r="B873" s="13" t="str">
        <f>HYPERLINK("http://www.generation-msx.nl/msxdb/softwareinfo/751"," Lien")</f>
        <v> Lien</v>
      </c>
      <c r="C873" s="13">
        <v>1986</v>
      </c>
      <c r="D873" s="13" t="s">
        <v>239</v>
      </c>
      <c r="E873" s="14" t="s">
        <v>9</v>
      </c>
      <c r="F873" s="14" t="s">
        <v>21</v>
      </c>
      <c r="G873" s="13" t="s">
        <v>18</v>
      </c>
    </row>
    <row r="874" spans="1:7" ht="12.75">
      <c r="A874" s="17" t="s">
        <v>1164</v>
      </c>
      <c r="B874" s="18" t="str">
        <f>HYPERLINK("http://www.generation-msx.nl/msxdb/softwareinfo/3043"," Lien")</f>
        <v> Lien</v>
      </c>
      <c r="C874" s="18">
        <v>1988</v>
      </c>
      <c r="D874" s="18" t="s">
        <v>177</v>
      </c>
      <c r="E874" s="19" t="s">
        <v>9</v>
      </c>
      <c r="F874" s="19" t="s">
        <v>178</v>
      </c>
      <c r="G874" s="18" t="s">
        <v>11</v>
      </c>
    </row>
    <row r="875" spans="1:7" ht="12.75">
      <c r="A875" s="36" t="s">
        <v>1165</v>
      </c>
      <c r="B875" s="13" t="str">
        <f>HYPERLINK("http://www.generation-msx.nl/msxdb/softwareinfo/2346"," Lien")</f>
        <v> Lien</v>
      </c>
      <c r="C875" s="13">
        <v>1991</v>
      </c>
      <c r="D875" s="13" t="s">
        <v>96</v>
      </c>
      <c r="E875" s="14" t="s">
        <v>51</v>
      </c>
      <c r="F875" s="14" t="s">
        <v>10</v>
      </c>
      <c r="G875" s="13" t="s">
        <v>18</v>
      </c>
    </row>
    <row r="876" spans="1:7" ht="12.75">
      <c r="A876" s="36" t="s">
        <v>1166</v>
      </c>
      <c r="B876" s="13" t="str">
        <f>HYPERLINK("http://www.generation-msx.nl/msxdb/softwareinfo/2902"," Lien")</f>
        <v> Lien</v>
      </c>
      <c r="C876" s="13">
        <v>1987</v>
      </c>
      <c r="D876" s="13" t="s">
        <v>198</v>
      </c>
      <c r="E876" s="14" t="s">
        <v>83</v>
      </c>
      <c r="F876" s="14" t="s">
        <v>10</v>
      </c>
      <c r="G876" s="13" t="s">
        <v>18</v>
      </c>
    </row>
    <row r="877" spans="1:7" ht="12.75">
      <c r="A877" s="49" t="s">
        <v>1167</v>
      </c>
      <c r="B877" s="13" t="str">
        <f>HYPERLINK("http://msxdev.msxblue.com/?page_id=75"," Lien")</f>
        <v> Lien</v>
      </c>
      <c r="C877" s="13">
        <v>2004</v>
      </c>
      <c r="D877" s="13" t="s">
        <v>1168</v>
      </c>
      <c r="E877" s="14" t="s">
        <v>307</v>
      </c>
      <c r="F877" s="14" t="s">
        <v>21</v>
      </c>
      <c r="G877" s="13" t="s">
        <v>18</v>
      </c>
    </row>
    <row r="878" spans="1:7" ht="12.75">
      <c r="A878" s="49" t="s">
        <v>1169</v>
      </c>
      <c r="B878" s="13" t="str">
        <f>HYPERLINK("http://msxdev.msxblue.com/?page_id=75"," Lien")</f>
        <v> Lien</v>
      </c>
      <c r="C878" s="13">
        <v>2004</v>
      </c>
      <c r="D878" s="13" t="s">
        <v>1168</v>
      </c>
      <c r="E878" s="14" t="s">
        <v>307</v>
      </c>
      <c r="F878" s="14" t="s">
        <v>21</v>
      </c>
      <c r="G878" s="13" t="s">
        <v>18</v>
      </c>
    </row>
    <row r="879" spans="1:7" ht="12.75">
      <c r="A879" s="17" t="s">
        <v>1170</v>
      </c>
      <c r="B879" s="18" t="str">
        <f>HYPERLINK("http://www.generation-msx.nl/msxdb/softwareinfo/3375"," Lien")</f>
        <v> Lien</v>
      </c>
      <c r="C879" s="18">
        <v>1989</v>
      </c>
      <c r="D879" s="18" t="s">
        <v>385</v>
      </c>
      <c r="E879" s="19" t="s">
        <v>51</v>
      </c>
      <c r="F879" s="19" t="s">
        <v>10</v>
      </c>
      <c r="G879" s="18" t="s">
        <v>11</v>
      </c>
    </row>
    <row r="880" spans="1:7" ht="12.75">
      <c r="A880" s="17" t="s">
        <v>1171</v>
      </c>
      <c r="B880" s="18" t="str">
        <f>HYPERLINK("http://www.generation-msx.nl/msxdb/softwareinfo/3324"," Lien")</f>
        <v> Lien</v>
      </c>
      <c r="C880" s="18">
        <v>1985</v>
      </c>
      <c r="D880" s="18" t="s">
        <v>649</v>
      </c>
      <c r="E880" s="19" t="s">
        <v>24</v>
      </c>
      <c r="F880" s="19" t="s">
        <v>10</v>
      </c>
      <c r="G880" s="18" t="s">
        <v>11</v>
      </c>
    </row>
    <row r="881" spans="1:7" ht="12.75">
      <c r="A881" s="36" t="s">
        <v>1172</v>
      </c>
      <c r="B881" s="13" t="str">
        <f>HYPERLINK("http://www.generation-msx.nl/msxdb/softwareinfo/3144"," Lien")</f>
        <v> Lien</v>
      </c>
      <c r="C881" s="13">
        <v>1985</v>
      </c>
      <c r="D881" s="13" t="s">
        <v>579</v>
      </c>
      <c r="E881" s="14" t="s">
        <v>51</v>
      </c>
      <c r="F881" s="14" t="s">
        <v>10</v>
      </c>
      <c r="G881" s="13" t="s">
        <v>18</v>
      </c>
    </row>
    <row r="882" spans="1:7" ht="12.75">
      <c r="A882" s="17" t="s">
        <v>1173</v>
      </c>
      <c r="B882" s="18" t="str">
        <f>HYPERLINK("http://www.generation-msx.nl/msxdb/softwareinfo/151"," Lien")</f>
        <v> Lien</v>
      </c>
      <c r="C882" s="18">
        <v>1984</v>
      </c>
      <c r="D882" s="18" t="s">
        <v>23</v>
      </c>
      <c r="E882" s="19" t="s">
        <v>9</v>
      </c>
      <c r="F882" s="19" t="s">
        <v>21</v>
      </c>
      <c r="G882" s="18" t="s">
        <v>11</v>
      </c>
    </row>
    <row r="883" spans="1:7" ht="12.75">
      <c r="A883" s="49" t="s">
        <v>1174</v>
      </c>
      <c r="B883" s="13" t="str">
        <f>HYPERLINK("http://www.generation-msx.nl/msxdb/softwareinfo/434"," Lien")</f>
        <v> Lien</v>
      </c>
      <c r="C883" s="13">
        <v>1985</v>
      </c>
      <c r="D883" s="13" t="s">
        <v>941</v>
      </c>
      <c r="E883" s="14" t="s">
        <v>9</v>
      </c>
      <c r="F883" s="14" t="s">
        <v>21</v>
      </c>
      <c r="G883" s="13" t="s">
        <v>18</v>
      </c>
    </row>
    <row r="884" spans="1:7" ht="12.75">
      <c r="A884" s="36" t="s">
        <v>1175</v>
      </c>
      <c r="B884" s="13"/>
      <c r="C884" s="13">
        <v>1987</v>
      </c>
      <c r="D884" s="13" t="s">
        <v>1176</v>
      </c>
      <c r="E884" s="14" t="s">
        <v>307</v>
      </c>
      <c r="F884" s="14" t="s">
        <v>102</v>
      </c>
      <c r="G884" s="13" t="s">
        <v>18</v>
      </c>
    </row>
    <row r="885" spans="1:7" ht="12.75">
      <c r="A885" s="17" t="s">
        <v>1177</v>
      </c>
      <c r="B885" s="18" t="str">
        <f>HYPERLINK("http://www.generation-msx.nl/msxdb/softwareinfo/2082"," Lien")</f>
        <v> Lien</v>
      </c>
      <c r="C885" s="18">
        <v>1985</v>
      </c>
      <c r="D885" s="18" t="s">
        <v>742</v>
      </c>
      <c r="E885" s="19" t="s">
        <v>307</v>
      </c>
      <c r="F885" s="19" t="s">
        <v>10</v>
      </c>
      <c r="G885" s="18" t="s">
        <v>11</v>
      </c>
    </row>
    <row r="886" spans="1:7" ht="12.75">
      <c r="A886" s="17" t="s">
        <v>1178</v>
      </c>
      <c r="B886" s="18" t="str">
        <f>HYPERLINK("http://msxdev.msxblue.com/?page_id=330"," Lien")</f>
        <v> Lien</v>
      </c>
      <c r="C886" s="18">
        <v>2009</v>
      </c>
      <c r="D886" s="18" t="s">
        <v>503</v>
      </c>
      <c r="E886" s="19" t="s">
        <v>51</v>
      </c>
      <c r="F886" s="19" t="s">
        <v>21</v>
      </c>
      <c r="G886" s="18" t="s">
        <v>11</v>
      </c>
    </row>
    <row r="887" spans="1:7" ht="12.75">
      <c r="A887" s="132" t="s">
        <v>1179</v>
      </c>
      <c r="B887" s="18" t="str">
        <f>HYPERLINK("http://www.generation-msx.nl/msxdb/softwareinfo/354"," Lien")</f>
        <v> Lien</v>
      </c>
      <c r="C887" s="18">
        <v>1983</v>
      </c>
      <c r="D887" s="18" t="s">
        <v>23</v>
      </c>
      <c r="E887" s="19" t="s">
        <v>9</v>
      </c>
      <c r="F887" s="19" t="s">
        <v>21</v>
      </c>
      <c r="G887" s="18" t="s">
        <v>11</v>
      </c>
    </row>
    <row r="888" spans="1:7" ht="12.75">
      <c r="A888" s="17" t="s">
        <v>1180</v>
      </c>
      <c r="B888" s="128"/>
      <c r="C888" s="128">
        <v>1985</v>
      </c>
      <c r="D888" s="128" t="s">
        <v>742</v>
      </c>
      <c r="E888" s="129" t="s">
        <v>67</v>
      </c>
      <c r="F888" s="129" t="s">
        <v>102</v>
      </c>
      <c r="G888" s="128" t="s">
        <v>11</v>
      </c>
    </row>
    <row r="889" spans="1:7" ht="12.75">
      <c r="A889" s="17" t="s">
        <v>1181</v>
      </c>
      <c r="B889" s="18" t="str">
        <f>HYPERLINK("http://www.generation-msx.nl/msxdb/softwareinfo/2239"," Lien")</f>
        <v> Lien</v>
      </c>
      <c r="C889" s="128">
        <v>1988</v>
      </c>
      <c r="D889" s="128" t="s">
        <v>385</v>
      </c>
      <c r="E889" s="129" t="s">
        <v>9</v>
      </c>
      <c r="F889" s="129" t="s">
        <v>10</v>
      </c>
      <c r="G889" s="128" t="s">
        <v>11</v>
      </c>
    </row>
    <row r="890" spans="1:7" ht="12.75">
      <c r="A890" s="49" t="s">
        <v>1182</v>
      </c>
      <c r="B890" s="13" t="str">
        <f>HYPERLINK("http://www.generation-msx.nl/msxdb/softwareinfo/875"," Lien")</f>
        <v> Lien</v>
      </c>
      <c r="C890" s="86">
        <v>1986</v>
      </c>
      <c r="D890" s="86" t="s">
        <v>512</v>
      </c>
      <c r="E890" s="87" t="s">
        <v>9</v>
      </c>
      <c r="F890" s="87" t="s">
        <v>21</v>
      </c>
      <c r="G890" s="86" t="s">
        <v>18</v>
      </c>
    </row>
    <row r="891" spans="1:7" ht="12.75">
      <c r="A891" s="49" t="s">
        <v>1183</v>
      </c>
      <c r="B891" s="13" t="str">
        <f>HYPERLINK("http://www.generation-msx.nl/msxdb/softwareinfo/1517"," Lien")</f>
        <v> Lien</v>
      </c>
      <c r="C891" s="86">
        <v>1989</v>
      </c>
      <c r="D891" s="86" t="s">
        <v>1184</v>
      </c>
      <c r="E891" s="87" t="s">
        <v>24</v>
      </c>
      <c r="F891" s="87" t="s">
        <v>48</v>
      </c>
      <c r="G891" s="86" t="s">
        <v>18</v>
      </c>
    </row>
    <row r="892" spans="1:7" ht="12.75">
      <c r="A892" s="17" t="s">
        <v>1185</v>
      </c>
      <c r="B892" s="18" t="str">
        <f>HYPERLINK("http://www.konamito.com/ficha/?id=992"," Lien")</f>
        <v> Lien</v>
      </c>
      <c r="C892" s="18">
        <v>1988</v>
      </c>
      <c r="D892" s="18" t="s">
        <v>1186</v>
      </c>
      <c r="E892" s="19" t="s">
        <v>323</v>
      </c>
      <c r="F892" s="19" t="s">
        <v>10</v>
      </c>
      <c r="G892" s="18" t="s">
        <v>11</v>
      </c>
    </row>
    <row r="893" spans="1:7" ht="12.75">
      <c r="A893" s="17" t="s">
        <v>1187</v>
      </c>
      <c r="B893" s="18"/>
      <c r="C893" s="18" t="s">
        <v>102</v>
      </c>
      <c r="D893" s="18" t="s">
        <v>102</v>
      </c>
      <c r="E893" s="19" t="s">
        <v>9</v>
      </c>
      <c r="F893" s="19" t="s">
        <v>102</v>
      </c>
      <c r="G893" s="18" t="s">
        <v>11</v>
      </c>
    </row>
    <row r="894" spans="1:7" ht="12.75">
      <c r="A894" s="17" t="s">
        <v>1188</v>
      </c>
      <c r="B894" s="18" t="str">
        <f>HYPERLINK("http://www.generation-msx.nl/msxdb/softwareinfo/3289"," Lien")</f>
        <v> Lien</v>
      </c>
      <c r="C894" s="18" t="s">
        <v>102</v>
      </c>
      <c r="D894" s="18" t="s">
        <v>1189</v>
      </c>
      <c r="E894" s="19" t="s">
        <v>55</v>
      </c>
      <c r="F894" s="19" t="s">
        <v>10</v>
      </c>
      <c r="G894" s="18" t="s">
        <v>11</v>
      </c>
    </row>
    <row r="895" spans="1:7" ht="12.75">
      <c r="A895" s="17" t="s">
        <v>1190</v>
      </c>
      <c r="B895" s="18" t="str">
        <f>HYPERLINK("http://www.generation-msx.nl/msxdb/softwareinfo/2251"," Lien")</f>
        <v> Lien</v>
      </c>
      <c r="C895" s="18">
        <v>1987</v>
      </c>
      <c r="D895" s="18" t="s">
        <v>69</v>
      </c>
      <c r="E895" s="19" t="s">
        <v>110</v>
      </c>
      <c r="F895" s="19" t="s">
        <v>10</v>
      </c>
      <c r="G895" s="18" t="s">
        <v>11</v>
      </c>
    </row>
    <row r="896" spans="1:7" ht="12.75">
      <c r="A896" s="17" t="s">
        <v>1191</v>
      </c>
      <c r="B896" s="18"/>
      <c r="C896" s="18">
        <v>1989</v>
      </c>
      <c r="D896" s="18" t="s">
        <v>1192</v>
      </c>
      <c r="E896" s="19" t="s">
        <v>323</v>
      </c>
      <c r="F896" s="19" t="s">
        <v>102</v>
      </c>
      <c r="G896" s="18" t="s">
        <v>11</v>
      </c>
    </row>
    <row r="897" spans="1:7" ht="12.75">
      <c r="A897" s="17" t="s">
        <v>1193</v>
      </c>
      <c r="B897" s="18"/>
      <c r="C897" s="18">
        <v>1991</v>
      </c>
      <c r="D897" s="18" t="s">
        <v>1192</v>
      </c>
      <c r="E897" s="19" t="s">
        <v>323</v>
      </c>
      <c r="F897" s="19" t="s">
        <v>102</v>
      </c>
      <c r="G897" s="18" t="s">
        <v>11</v>
      </c>
    </row>
    <row r="898" spans="1:7" ht="12.75">
      <c r="A898" s="36" t="s">
        <v>1194</v>
      </c>
      <c r="B898" s="13" t="str">
        <f>HYPERLINK("http://www.generation-msx.nl/msxdb/softwareinfo/2758"," Lien")</f>
        <v> Lien</v>
      </c>
      <c r="C898" s="13">
        <v>1985</v>
      </c>
      <c r="D898" s="13" t="s">
        <v>250</v>
      </c>
      <c r="E898" s="14" t="s">
        <v>9</v>
      </c>
      <c r="F898" s="14" t="s">
        <v>10</v>
      </c>
      <c r="G898" s="13" t="s">
        <v>18</v>
      </c>
    </row>
    <row r="899" spans="1:7" ht="12.75">
      <c r="A899" s="36" t="s">
        <v>1195</v>
      </c>
      <c r="B899" s="13" t="str">
        <f>HYPERLINK("http://www.generation-msx.nl/msxdb/softwareinfo/3417"," Lien")</f>
        <v> Lien</v>
      </c>
      <c r="C899" s="13">
        <v>1985</v>
      </c>
      <c r="D899" s="13" t="s">
        <v>1196</v>
      </c>
      <c r="E899" s="14" t="s">
        <v>51</v>
      </c>
      <c r="F899" s="14" t="s">
        <v>10</v>
      </c>
      <c r="G899" s="13" t="s">
        <v>18</v>
      </c>
    </row>
    <row r="900" spans="1:7" ht="12.75">
      <c r="A900" s="17" t="s">
        <v>1197</v>
      </c>
      <c r="B900" s="18" t="str">
        <f>HYPERLINK("http://www.generation-msx.nl/msxdb/softwareinfo/2064"," Lien")</f>
        <v> Lien</v>
      </c>
      <c r="C900" s="18">
        <v>1984</v>
      </c>
      <c r="D900" s="18" t="s">
        <v>208</v>
      </c>
      <c r="E900" s="19" t="s">
        <v>17</v>
      </c>
      <c r="F900" s="19" t="s">
        <v>10</v>
      </c>
      <c r="G900" s="18" t="s">
        <v>11</v>
      </c>
    </row>
    <row r="901" spans="1:7" ht="12.75">
      <c r="A901" s="17" t="s">
        <v>1198</v>
      </c>
      <c r="B901" s="18" t="str">
        <f>HYPERLINK("http://www.generation-msx.nl/msxdb/softwareinfo/2064"," Lien")</f>
        <v> Lien</v>
      </c>
      <c r="C901" s="18">
        <v>1985</v>
      </c>
      <c r="D901" s="18" t="s">
        <v>208</v>
      </c>
      <c r="E901" s="19" t="s">
        <v>17</v>
      </c>
      <c r="F901" s="19" t="s">
        <v>209</v>
      </c>
      <c r="G901" s="18" t="s">
        <v>11</v>
      </c>
    </row>
    <row r="902" spans="1:7" ht="12.75">
      <c r="A902" s="36" t="s">
        <v>1199</v>
      </c>
      <c r="B902" s="13" t="str">
        <f>HYPERLINK("http://www.generation-msx.nl/msxdb/softwareinfo/2179"," Lien")</f>
        <v> Lien</v>
      </c>
      <c r="C902" s="13">
        <v>1988</v>
      </c>
      <c r="D902" s="13" t="s">
        <v>302</v>
      </c>
      <c r="E902" s="14" t="s">
        <v>24</v>
      </c>
      <c r="F902" s="14" t="s">
        <v>10</v>
      </c>
      <c r="G902" s="13" t="s">
        <v>18</v>
      </c>
    </row>
    <row r="903" spans="1:7" ht="12.75">
      <c r="A903" s="17" t="s">
        <v>1200</v>
      </c>
      <c r="B903" s="18" t="str">
        <f>HYPERLINK("http://www.generation-msx.nl/msxdb/softwareinfo/1493"," Lien")</f>
        <v> Lien</v>
      </c>
      <c r="C903" s="18">
        <v>1988</v>
      </c>
      <c r="D903" s="18" t="s">
        <v>87</v>
      </c>
      <c r="E903" s="19" t="s">
        <v>291</v>
      </c>
      <c r="F903" s="19" t="s">
        <v>48</v>
      </c>
      <c r="G903" s="18" t="s">
        <v>11</v>
      </c>
    </row>
    <row r="904" spans="1:7" ht="12.75">
      <c r="A904" s="132" t="s">
        <v>1201</v>
      </c>
      <c r="B904" s="18" t="str">
        <f>HYPERLINK("http://www.generation-msx.nl/msxdb/softwareinfo/3157"," Lien")</f>
        <v> Lien</v>
      </c>
      <c r="C904" s="18">
        <v>1988</v>
      </c>
      <c r="D904" s="18" t="s">
        <v>1202</v>
      </c>
      <c r="E904" s="19" t="s">
        <v>51</v>
      </c>
      <c r="F904" s="19" t="s">
        <v>21</v>
      </c>
      <c r="G904" s="18" t="s">
        <v>11</v>
      </c>
    </row>
    <row r="905" spans="1:7" ht="12.75">
      <c r="A905" s="17" t="s">
        <v>1203</v>
      </c>
      <c r="B905" s="18" t="str">
        <f>HYPERLINK("http://www.generation-msx.nl/msxdb/softwareinfo/3362"," Lien")</f>
        <v> Lien</v>
      </c>
      <c r="C905" s="18" t="s">
        <v>102</v>
      </c>
      <c r="D905" s="18" t="s">
        <v>85</v>
      </c>
      <c r="E905" s="19" t="s">
        <v>55</v>
      </c>
      <c r="F905" s="19" t="s">
        <v>10</v>
      </c>
      <c r="G905" s="18" t="s">
        <v>11</v>
      </c>
    </row>
    <row r="906" spans="1:7" ht="12.75">
      <c r="A906" s="17" t="s">
        <v>1204</v>
      </c>
      <c r="B906" s="18" t="str">
        <f>HYPERLINK("http://www.generation-msx.nl/msxdb/softwareinfo/691"," Lien")</f>
        <v> Lien</v>
      </c>
      <c r="C906" s="18">
        <v>1985</v>
      </c>
      <c r="D906" s="18" t="s">
        <v>29</v>
      </c>
      <c r="E906" s="19" t="s">
        <v>55</v>
      </c>
      <c r="F906" s="19" t="s">
        <v>10</v>
      </c>
      <c r="G906" s="18" t="s">
        <v>11</v>
      </c>
    </row>
    <row r="907" spans="1:7" ht="12.75">
      <c r="A907" s="17" t="s">
        <v>1205</v>
      </c>
      <c r="B907" s="18" t="str">
        <f>HYPERLINK("http://www.konamito.com/ficha/?id=1167"," Lien")</f>
        <v> Lien</v>
      </c>
      <c r="C907" s="18">
        <v>1988</v>
      </c>
      <c r="D907" s="18" t="s">
        <v>87</v>
      </c>
      <c r="E907" s="19" t="s">
        <v>24</v>
      </c>
      <c r="F907" s="19" t="s">
        <v>48</v>
      </c>
      <c r="G907" s="18" t="s">
        <v>18</v>
      </c>
    </row>
    <row r="908" spans="1:7" ht="12.75">
      <c r="A908" s="51" t="s">
        <v>1206</v>
      </c>
      <c r="B908" s="126"/>
      <c r="C908" s="126">
        <v>1987</v>
      </c>
      <c r="D908" s="126" t="s">
        <v>1207</v>
      </c>
      <c r="E908" s="54" t="s">
        <v>102</v>
      </c>
      <c r="F908" s="54" t="s">
        <v>102</v>
      </c>
      <c r="G908" s="126" t="s">
        <v>361</v>
      </c>
    </row>
    <row r="909" spans="1:7" ht="12.75">
      <c r="A909" s="17" t="s">
        <v>1208</v>
      </c>
      <c r="B909" s="18"/>
      <c r="C909" s="18">
        <v>1985</v>
      </c>
      <c r="D909" s="18" t="s">
        <v>777</v>
      </c>
      <c r="E909" s="19" t="s">
        <v>9</v>
      </c>
      <c r="F909" s="19" t="s">
        <v>102</v>
      </c>
      <c r="G909" s="18" t="s">
        <v>11</v>
      </c>
    </row>
    <row r="910" spans="1:7" ht="12.75">
      <c r="A910" s="17" t="s">
        <v>1209</v>
      </c>
      <c r="B910" s="18" t="str">
        <f>HYPERLINK("http://www.generation-msx.nl/msxdb/softwareinfo/2272"," Lien")</f>
        <v> Lien</v>
      </c>
      <c r="C910" s="18">
        <v>1989</v>
      </c>
      <c r="D910" s="18" t="s">
        <v>807</v>
      </c>
      <c r="E910" s="19" t="s">
        <v>9</v>
      </c>
      <c r="F910" s="19" t="s">
        <v>10</v>
      </c>
      <c r="G910" s="18" t="s">
        <v>11</v>
      </c>
    </row>
    <row r="911" spans="1:7" ht="12.75">
      <c r="A911" s="36" t="s">
        <v>1210</v>
      </c>
      <c r="B911" s="13" t="str">
        <f>HYPERLINK("http://www.generation-msx.nl/msxdb/softwareinfo/2994"," Lien")</f>
        <v> Lien</v>
      </c>
      <c r="C911" s="13">
        <v>1987</v>
      </c>
      <c r="D911" s="13" t="s">
        <v>481</v>
      </c>
      <c r="E911" s="14" t="s">
        <v>9</v>
      </c>
      <c r="F911" s="14" t="s">
        <v>48</v>
      </c>
      <c r="G911" s="13" t="s">
        <v>18</v>
      </c>
    </row>
    <row r="912" spans="1:7" ht="12.75">
      <c r="A912" s="49" t="s">
        <v>1211</v>
      </c>
      <c r="B912" s="13" t="str">
        <f>HYPERLINK("http://www.generation-msx.nl/msxdb/softwareinfo/3217"," Lien")</f>
        <v> Lien</v>
      </c>
      <c r="C912" s="13">
        <v>1990</v>
      </c>
      <c r="D912" s="13" t="s">
        <v>949</v>
      </c>
      <c r="E912" s="14" t="s">
        <v>58</v>
      </c>
      <c r="F912" s="138" t="s">
        <v>838</v>
      </c>
      <c r="G912" s="13" t="s">
        <v>18</v>
      </c>
    </row>
    <row r="913" spans="1:7" ht="12.75">
      <c r="A913" s="17" t="s">
        <v>1212</v>
      </c>
      <c r="B913" s="18" t="str">
        <f>HYPERLINK("http://msxdev.msxblue.com/?page_id=330"," Lien")</f>
        <v> Lien</v>
      </c>
      <c r="C913" s="18">
        <v>2009</v>
      </c>
      <c r="D913" s="18" t="s">
        <v>1213</v>
      </c>
      <c r="E913" s="19" t="s">
        <v>207</v>
      </c>
      <c r="F913" s="19" t="s">
        <v>21</v>
      </c>
      <c r="G913" s="18" t="s">
        <v>11</v>
      </c>
    </row>
    <row r="914" spans="1:7" ht="12.75">
      <c r="A914" s="36" t="s">
        <v>1214</v>
      </c>
      <c r="B914" s="13"/>
      <c r="C914" s="13">
        <v>1986</v>
      </c>
      <c r="D914" s="13" t="s">
        <v>669</v>
      </c>
      <c r="E914" s="14" t="s">
        <v>307</v>
      </c>
      <c r="F914" s="14" t="s">
        <v>10</v>
      </c>
      <c r="G914" s="13" t="s">
        <v>18</v>
      </c>
    </row>
    <row r="915" spans="1:7" ht="12.75">
      <c r="A915" s="17" t="s">
        <v>1215</v>
      </c>
      <c r="B915" s="18" t="str">
        <f>HYPERLINK("http://www.generation-msx.nl/msxdb/softwareinfo/2253"," Lien")</f>
        <v> Lien</v>
      </c>
      <c r="C915" s="18">
        <v>1986</v>
      </c>
      <c r="D915" s="18" t="s">
        <v>69</v>
      </c>
      <c r="E915" s="19" t="s">
        <v>51</v>
      </c>
      <c r="F915" s="19" t="s">
        <v>10</v>
      </c>
      <c r="G915" s="18" t="s">
        <v>11</v>
      </c>
    </row>
    <row r="916" spans="1:7" ht="12.75">
      <c r="A916" s="17" t="s">
        <v>1216</v>
      </c>
      <c r="B916" s="18" t="str">
        <f>HYPERLINK("http://www.generation-msx.nl/msxdb/softwareinfo/2255"," Lien")</f>
        <v> Lien</v>
      </c>
      <c r="C916" s="18">
        <v>1989</v>
      </c>
      <c r="D916" s="18" t="s">
        <v>69</v>
      </c>
      <c r="E916" s="19" t="s">
        <v>51</v>
      </c>
      <c r="F916" s="19" t="s">
        <v>10</v>
      </c>
      <c r="G916" s="18" t="s">
        <v>11</v>
      </c>
    </row>
    <row r="917" spans="1:7" ht="12.75">
      <c r="A917" s="17" t="s">
        <v>1217</v>
      </c>
      <c r="B917" s="18" t="str">
        <f>HYPERLINK("http://www.generation-msx.nl/msxdb/softwareinfo/677"," Lien")</f>
        <v> Lien</v>
      </c>
      <c r="C917" s="18">
        <v>1985</v>
      </c>
      <c r="D917" s="18" t="s">
        <v>932</v>
      </c>
      <c r="E917" s="19" t="s">
        <v>291</v>
      </c>
      <c r="F917" s="19" t="s">
        <v>10</v>
      </c>
      <c r="G917" s="18" t="s">
        <v>11</v>
      </c>
    </row>
    <row r="918" spans="1:7" ht="12.75">
      <c r="A918" s="132" t="s">
        <v>1218</v>
      </c>
      <c r="B918" s="18" t="str">
        <f>HYPERLINK("http://msxdev.msxblue.com/?page_id=116"," Lien")</f>
        <v> Lien</v>
      </c>
      <c r="C918" s="18">
        <v>2005</v>
      </c>
      <c r="D918" s="18" t="s">
        <v>212</v>
      </c>
      <c r="E918" s="19" t="s">
        <v>58</v>
      </c>
      <c r="F918" s="19" t="s">
        <v>21</v>
      </c>
      <c r="G918" s="18" t="s">
        <v>11</v>
      </c>
    </row>
    <row r="919" spans="1:7" ht="12.75">
      <c r="A919" s="36" t="s">
        <v>1219</v>
      </c>
      <c r="B919" s="13" t="str">
        <f>HYPERLINK("http://www.generation-msx.nl/msxdb/softwareinfo/359"," Lien")</f>
        <v> Lien</v>
      </c>
      <c r="C919" s="13">
        <v>1983</v>
      </c>
      <c r="D919" s="13" t="s">
        <v>1220</v>
      </c>
      <c r="E919" s="14" t="s">
        <v>307</v>
      </c>
      <c r="F919" s="14" t="s">
        <v>1221</v>
      </c>
      <c r="G919" s="13" t="s">
        <v>18</v>
      </c>
    </row>
    <row r="920" spans="1:7" ht="12.75">
      <c r="A920" s="36" t="s">
        <v>1222</v>
      </c>
      <c r="B920" s="13" t="str">
        <f>HYPERLINK("http://www.generation-msx.nl/msxdb/softwareinfo/685"," Lien")</f>
        <v> Lien</v>
      </c>
      <c r="C920" s="13">
        <v>1985</v>
      </c>
      <c r="D920" s="13" t="s">
        <v>1220</v>
      </c>
      <c r="E920" s="14" t="s">
        <v>307</v>
      </c>
      <c r="F920" s="14" t="s">
        <v>21</v>
      </c>
      <c r="G920" s="13" t="s">
        <v>18</v>
      </c>
    </row>
    <row r="921" spans="1:7" ht="12.75">
      <c r="A921" s="36" t="s">
        <v>1223</v>
      </c>
      <c r="B921" s="13" t="str">
        <f>HYPERLINK("http://www.generation-msx.nl/msxdb/softwareinfo/87"," Lien")</f>
        <v> Lien</v>
      </c>
      <c r="C921" s="13">
        <v>1984</v>
      </c>
      <c r="D921" s="13" t="s">
        <v>89</v>
      </c>
      <c r="E921" s="14" t="s">
        <v>9</v>
      </c>
      <c r="F921" s="14" t="s">
        <v>10</v>
      </c>
      <c r="G921" s="13" t="s">
        <v>18</v>
      </c>
    </row>
    <row r="922" spans="1:7" ht="12.75">
      <c r="A922" s="36" t="s">
        <v>1224</v>
      </c>
      <c r="B922" s="13" t="str">
        <f>HYPERLINK("http://www.konamito.com/ficha/?id=1945"," Lien")</f>
        <v> Lien</v>
      </c>
      <c r="C922" s="13">
        <v>2000</v>
      </c>
      <c r="D922" s="13" t="s">
        <v>1225</v>
      </c>
      <c r="E922" s="14" t="s">
        <v>307</v>
      </c>
      <c r="F922" s="14" t="s">
        <v>48</v>
      </c>
      <c r="G922" s="13" t="s">
        <v>18</v>
      </c>
    </row>
    <row r="923" spans="1:7" ht="12.75">
      <c r="A923" s="132" t="s">
        <v>1226</v>
      </c>
      <c r="B923" s="18" t="str">
        <f>HYPERLINK("http://www.generation-msx.nl/msxdb/softwareinfo/358"," Lien")</f>
        <v> Lien</v>
      </c>
      <c r="C923" s="18">
        <v>1984</v>
      </c>
      <c r="D923" s="18" t="s">
        <v>23</v>
      </c>
      <c r="E923" s="19" t="s">
        <v>323</v>
      </c>
      <c r="F923" s="19" t="s">
        <v>21</v>
      </c>
      <c r="G923" s="18" t="s">
        <v>11</v>
      </c>
    </row>
    <row r="924" spans="1:7" ht="12.75">
      <c r="A924" s="17" t="s">
        <v>1227</v>
      </c>
      <c r="B924" s="18" t="str">
        <f>HYPERLINK("http://www.generation-msx.nl/msxdb/softwareinfo/2305"," Lien")</f>
        <v> Lien</v>
      </c>
      <c r="C924" s="18">
        <v>1990</v>
      </c>
      <c r="D924" s="18" t="s">
        <v>113</v>
      </c>
      <c r="E924" s="19" t="s">
        <v>9</v>
      </c>
      <c r="F924" s="19" t="s">
        <v>10</v>
      </c>
      <c r="G924" s="18" t="s">
        <v>11</v>
      </c>
    </row>
    <row r="925" spans="1:7" ht="12.75">
      <c r="A925" s="17" t="s">
        <v>1228</v>
      </c>
      <c r="B925" s="18" t="str">
        <f>HYPERLINK("http://msxdev.msxblue.com/?page_id=275"," Lien")</f>
        <v> Lien</v>
      </c>
      <c r="C925" s="18">
        <v>2006</v>
      </c>
      <c r="D925" s="18" t="s">
        <v>1063</v>
      </c>
      <c r="E925" s="19" t="s">
        <v>58</v>
      </c>
      <c r="F925" s="19" t="s">
        <v>21</v>
      </c>
      <c r="G925" s="18" t="s">
        <v>11</v>
      </c>
    </row>
    <row r="926" spans="1:7" ht="12.75">
      <c r="A926" s="132" t="s">
        <v>1229</v>
      </c>
      <c r="B926" s="18" t="str">
        <f>HYPERLINK("http://www.generation-msx.nl/msxdb/softwareinfo/879"," Lien")</f>
        <v> Lien</v>
      </c>
      <c r="C926" s="18">
        <v>1985</v>
      </c>
      <c r="D926" s="18" t="s">
        <v>1230</v>
      </c>
      <c r="E926" s="19" t="s">
        <v>307</v>
      </c>
      <c r="F926" s="19" t="s">
        <v>21</v>
      </c>
      <c r="G926" s="18" t="s">
        <v>18</v>
      </c>
    </row>
    <row r="927" spans="1:7" ht="12.75">
      <c r="A927" s="49" t="s">
        <v>1231</v>
      </c>
      <c r="B927" s="13" t="str">
        <f>HYPERLINK("http://msxdev.msxblue.com/?page_id=305"," Lien")</f>
        <v> Lien</v>
      </c>
      <c r="C927" s="13">
        <v>2007</v>
      </c>
      <c r="D927" s="13" t="s">
        <v>1232</v>
      </c>
      <c r="E927" s="14" t="s">
        <v>9</v>
      </c>
      <c r="F927" s="14" t="s">
        <v>21</v>
      </c>
      <c r="G927" s="13" t="s">
        <v>18</v>
      </c>
    </row>
    <row r="928" spans="1:7" ht="12.75">
      <c r="A928" s="36" t="s">
        <v>1233</v>
      </c>
      <c r="B928" s="13" t="str">
        <f>HYPERLINK("http://www.generation-msx.nl/msxdb/softwareinfo/679"," Lien")</f>
        <v> Lien</v>
      </c>
      <c r="C928" s="13">
        <v>1985</v>
      </c>
      <c r="D928" s="13" t="s">
        <v>128</v>
      </c>
      <c r="E928" s="14" t="s">
        <v>17</v>
      </c>
      <c r="F928" s="14" t="s">
        <v>21</v>
      </c>
      <c r="G928" s="13" t="s">
        <v>18</v>
      </c>
    </row>
    <row r="929" spans="1:7" ht="12.75">
      <c r="A929" s="36" t="s">
        <v>1234</v>
      </c>
      <c r="B929" s="86"/>
      <c r="C929" s="13">
        <v>1986</v>
      </c>
      <c r="D929" s="13" t="s">
        <v>857</v>
      </c>
      <c r="E929" s="14" t="s">
        <v>9</v>
      </c>
      <c r="F929" s="14" t="s">
        <v>102</v>
      </c>
      <c r="G929" s="13" t="s">
        <v>18</v>
      </c>
    </row>
    <row r="930" spans="1:7" ht="12.75">
      <c r="A930" s="17" t="s">
        <v>1235</v>
      </c>
      <c r="B930" s="18" t="str">
        <f>HYPERLINK("http://www.generation-msx.nl/msxdb/softwareinfo/2394"," Lien")</f>
        <v> Lien</v>
      </c>
      <c r="C930" s="18">
        <v>1986</v>
      </c>
      <c r="D930" s="18" t="s">
        <v>481</v>
      </c>
      <c r="E930" s="19" t="s">
        <v>9</v>
      </c>
      <c r="F930" s="19" t="s">
        <v>27</v>
      </c>
      <c r="G930" s="18" t="s">
        <v>11</v>
      </c>
    </row>
    <row r="931" spans="1:7" ht="12.75">
      <c r="A931" s="17" t="s">
        <v>1236</v>
      </c>
      <c r="B931" s="18" t="str">
        <f>HYPERLINK("http://www.generation-msx.nl/msxdb/softwareinfo/2755"," Lien")</f>
        <v> Lien</v>
      </c>
      <c r="C931" s="18">
        <v>1985</v>
      </c>
      <c r="D931" s="18" t="s">
        <v>1237</v>
      </c>
      <c r="E931" s="19" t="s">
        <v>765</v>
      </c>
      <c r="F931" s="19" t="s">
        <v>10</v>
      </c>
      <c r="G931" s="18" t="s">
        <v>11</v>
      </c>
    </row>
    <row r="932" spans="1:7" ht="12.75">
      <c r="A932" s="17" t="s">
        <v>1238</v>
      </c>
      <c r="B932" s="18" t="str">
        <f>HYPERLINK("http://www.generation-msx.nl/msxdb/softwareinfo/2893"," Lien")</f>
        <v> Lien</v>
      </c>
      <c r="C932" s="18">
        <v>1989</v>
      </c>
      <c r="D932" s="18" t="s">
        <v>383</v>
      </c>
      <c r="E932" s="19" t="s">
        <v>24</v>
      </c>
      <c r="F932" s="19" t="s">
        <v>10</v>
      </c>
      <c r="G932" s="18" t="s">
        <v>11</v>
      </c>
    </row>
    <row r="933" spans="1:7" ht="12.75">
      <c r="A933" s="36" t="s">
        <v>1239</v>
      </c>
      <c r="B933" s="13" t="str">
        <f>HYPERLINK("http://www.generation-msx.nl/msxdb/softwareinfo/148"," Lien")</f>
        <v> Lien</v>
      </c>
      <c r="C933" s="13">
        <v>1983</v>
      </c>
      <c r="D933" s="13" t="s">
        <v>26</v>
      </c>
      <c r="E933" s="14" t="s">
        <v>9</v>
      </c>
      <c r="F933" s="14" t="s">
        <v>10</v>
      </c>
      <c r="G933" s="13" t="s">
        <v>18</v>
      </c>
    </row>
    <row r="934" spans="1:7" ht="12.75">
      <c r="A934" s="132" t="s">
        <v>1240</v>
      </c>
      <c r="B934" s="18" t="str">
        <f>HYPERLINK("http://www.generation-msx.nl/msxdb/softwareinfo/653"," Lien")</f>
        <v> Lien</v>
      </c>
      <c r="C934" s="18">
        <v>1985</v>
      </c>
      <c r="D934" s="18" t="s">
        <v>1241</v>
      </c>
      <c r="E934" s="19" t="s">
        <v>24</v>
      </c>
      <c r="F934" s="19" t="s">
        <v>1221</v>
      </c>
      <c r="G934" s="18" t="s">
        <v>11</v>
      </c>
    </row>
    <row r="935" spans="1:7" ht="12.75">
      <c r="A935" s="132" t="s">
        <v>1242</v>
      </c>
      <c r="B935" s="18" t="str">
        <f>HYPERLINK("http://www.konamito.com/ficha/?id=2694"," Lien")</f>
        <v> Lien</v>
      </c>
      <c r="C935" s="18">
        <v>1986</v>
      </c>
      <c r="D935" s="18" t="s">
        <v>649</v>
      </c>
      <c r="E935" s="19" t="s">
        <v>9</v>
      </c>
      <c r="F935" s="19" t="s">
        <v>10</v>
      </c>
      <c r="G935" s="18" t="s">
        <v>11</v>
      </c>
    </row>
    <row r="936" spans="1:7" ht="12.75">
      <c r="A936" s="17" t="s">
        <v>1243</v>
      </c>
      <c r="B936" s="18"/>
      <c r="C936" s="18">
        <v>1986</v>
      </c>
      <c r="D936" s="18" t="s">
        <v>1244</v>
      </c>
      <c r="E936" s="19" t="s">
        <v>51</v>
      </c>
      <c r="F936" s="19" t="s">
        <v>102</v>
      </c>
      <c r="G936" s="18" t="s">
        <v>11</v>
      </c>
    </row>
    <row r="937" spans="1:7" ht="12.75">
      <c r="A937" s="36" t="s">
        <v>1245</v>
      </c>
      <c r="B937" s="13" t="str">
        <f>HYPERLINK("http://www.generation-msx.nl/msxdb/softwareinfo/2307"," Lien")</f>
        <v> Lien</v>
      </c>
      <c r="C937" s="13">
        <v>1990</v>
      </c>
      <c r="D937" s="13" t="s">
        <v>113</v>
      </c>
      <c r="E937" s="14" t="s">
        <v>275</v>
      </c>
      <c r="F937" s="14" t="s">
        <v>10</v>
      </c>
      <c r="G937" s="13" t="s">
        <v>18</v>
      </c>
    </row>
    <row r="938" spans="1:7" ht="12.75">
      <c r="A938" s="36" t="s">
        <v>1246</v>
      </c>
      <c r="B938" s="13" t="str">
        <f>HYPERLINK("http://www.generation-msx.nl/msxdb/softwareinfo/2306"," Lien")</f>
        <v> Lien</v>
      </c>
      <c r="C938" s="13">
        <v>1988</v>
      </c>
      <c r="D938" s="13" t="s">
        <v>113</v>
      </c>
      <c r="E938" s="14" t="s">
        <v>275</v>
      </c>
      <c r="F938" s="14" t="s">
        <v>10</v>
      </c>
      <c r="G938" s="13" t="s">
        <v>18</v>
      </c>
    </row>
    <row r="939" spans="1:7" ht="12.75">
      <c r="A939" s="17" t="s">
        <v>1247</v>
      </c>
      <c r="B939" s="18"/>
      <c r="C939" s="18">
        <v>1985</v>
      </c>
      <c r="D939" s="18" t="s">
        <v>96</v>
      </c>
      <c r="E939" s="19" t="s">
        <v>9</v>
      </c>
      <c r="F939" s="19" t="s">
        <v>10</v>
      </c>
      <c r="G939" s="18" t="s">
        <v>11</v>
      </c>
    </row>
    <row r="940" spans="1:7" ht="12.75">
      <c r="A940" s="17" t="s">
        <v>1248</v>
      </c>
      <c r="B940" s="18" t="str">
        <f>HYPERLINK("http://www.generation-msx.nl/msxdb/softwareinfo/3215"," Lien")</f>
        <v> Lien</v>
      </c>
      <c r="C940" s="18">
        <v>1990</v>
      </c>
      <c r="D940" s="18" t="s">
        <v>378</v>
      </c>
      <c r="E940" s="19" t="s">
        <v>17</v>
      </c>
      <c r="F940" s="19" t="s">
        <v>10</v>
      </c>
      <c r="G940" s="18" t="s">
        <v>11</v>
      </c>
    </row>
    <row r="941" spans="1:7" ht="12.75">
      <c r="A941" s="17" t="s">
        <v>1249</v>
      </c>
      <c r="B941" s="18" t="str">
        <f>HYPERLINK("http://www.generation-msx.nl/msxdb/softwareinfo/3370"," Lien")</f>
        <v> Lien</v>
      </c>
      <c r="C941" s="18">
        <v>1987</v>
      </c>
      <c r="D941" s="18" t="s">
        <v>385</v>
      </c>
      <c r="E941" s="19" t="s">
        <v>765</v>
      </c>
      <c r="F941" s="19" t="s">
        <v>10</v>
      </c>
      <c r="G941" s="18" t="s">
        <v>11</v>
      </c>
    </row>
    <row r="942" spans="1:7" ht="12.75">
      <c r="A942" s="36" t="s">
        <v>1250</v>
      </c>
      <c r="B942" s="13" t="str">
        <f>HYPERLINK("http://www.generation-msx.nl/msxdb/softwareinfo/856"," Lien")</f>
        <v> Lien</v>
      </c>
      <c r="C942" s="13">
        <v>1986</v>
      </c>
      <c r="D942" s="13" t="s">
        <v>206</v>
      </c>
      <c r="E942" s="14" t="s">
        <v>51</v>
      </c>
      <c r="F942" s="14" t="s">
        <v>21</v>
      </c>
      <c r="G942" s="13" t="s">
        <v>18</v>
      </c>
    </row>
    <row r="943" spans="1:7" ht="12.75">
      <c r="A943" s="49" t="s">
        <v>1251</v>
      </c>
      <c r="B943" s="13" t="str">
        <f>HYPERLINK("http://www.konamito.com/ficha/?id=923;"," Lien")</f>
        <v> Lien</v>
      </c>
      <c r="C943" s="13">
        <v>2005</v>
      </c>
      <c r="D943" s="13" t="s">
        <v>265</v>
      </c>
      <c r="E943" s="14" t="s">
        <v>307</v>
      </c>
      <c r="F943" s="14" t="s">
        <v>21</v>
      </c>
      <c r="G943" s="13" t="s">
        <v>18</v>
      </c>
    </row>
    <row r="944" spans="1:7" ht="12.75">
      <c r="A944" s="36" t="s">
        <v>1252</v>
      </c>
      <c r="B944" s="13" t="str">
        <f>HYPERLINK("http://www.generation-msx.nl/msxdb/softwareinfo/655"," Lien")</f>
        <v> Lien</v>
      </c>
      <c r="C944" s="13">
        <v>1984</v>
      </c>
      <c r="D944" s="13" t="s">
        <v>62</v>
      </c>
      <c r="E944" s="14" t="s">
        <v>51</v>
      </c>
      <c r="F944" s="14" t="s">
        <v>21</v>
      </c>
      <c r="G944" s="13" t="s">
        <v>18</v>
      </c>
    </row>
    <row r="945" spans="1:7" ht="12.75">
      <c r="A945" s="49" t="s">
        <v>1253</v>
      </c>
      <c r="B945" s="13" t="str">
        <f>HYPERLINK("http://www.generation-msx.nl/msxdb/softwareinfo/1218"," Lien")</f>
        <v> Lien</v>
      </c>
      <c r="C945" s="13">
        <v>1988</v>
      </c>
      <c r="D945" s="13" t="s">
        <v>941</v>
      </c>
      <c r="E945" s="14" t="s">
        <v>9</v>
      </c>
      <c r="F945" s="14" t="s">
        <v>52</v>
      </c>
      <c r="G945" s="13" t="s">
        <v>18</v>
      </c>
    </row>
    <row r="946" spans="1:7" ht="12.75">
      <c r="A946" s="132" t="s">
        <v>1254</v>
      </c>
      <c r="B946" s="18"/>
      <c r="C946" s="18">
        <v>1988</v>
      </c>
      <c r="D946" s="18" t="s">
        <v>1255</v>
      </c>
      <c r="E946" s="19" t="s">
        <v>51</v>
      </c>
      <c r="F946" s="19" t="s">
        <v>102</v>
      </c>
      <c r="G946" s="18" t="s">
        <v>11</v>
      </c>
    </row>
    <row r="947" spans="1:7" ht="12.75">
      <c r="A947" s="17" t="s">
        <v>1256</v>
      </c>
      <c r="B947" s="18"/>
      <c r="C947" s="18">
        <v>1988</v>
      </c>
      <c r="D947" s="18" t="s">
        <v>1255</v>
      </c>
      <c r="E947" s="19" t="s">
        <v>51</v>
      </c>
      <c r="F947" s="19" t="s">
        <v>102</v>
      </c>
      <c r="G947" s="18" t="s">
        <v>11</v>
      </c>
    </row>
    <row r="948" spans="1:7" ht="12.75">
      <c r="A948" s="49" t="s">
        <v>1257</v>
      </c>
      <c r="B948" s="13" t="str">
        <f>HYPERLINK("http://www.generation-msx.nl/msxdb/softwareinfo/504"," Lien")</f>
        <v> Lien</v>
      </c>
      <c r="C948" s="13">
        <v>1984</v>
      </c>
      <c r="D948" s="13" t="s">
        <v>169</v>
      </c>
      <c r="E948" s="14" t="s">
        <v>207</v>
      </c>
      <c r="F948" s="14" t="s">
        <v>21</v>
      </c>
      <c r="G948" s="13" t="s">
        <v>11</v>
      </c>
    </row>
    <row r="949" spans="1:7" ht="12.75">
      <c r="A949" s="17" t="s">
        <v>1258</v>
      </c>
      <c r="B949" s="18" t="str">
        <f>HYPERLINK("http://www.konamito.com/ficha/?id=1467"," Lien")</f>
        <v> Lien</v>
      </c>
      <c r="C949" s="18">
        <v>1988</v>
      </c>
      <c r="D949" s="18" t="s">
        <v>1255</v>
      </c>
      <c r="E949" s="19" t="s">
        <v>51</v>
      </c>
      <c r="F949" s="19" t="s">
        <v>102</v>
      </c>
      <c r="G949" s="18" t="s">
        <v>11</v>
      </c>
    </row>
    <row r="950" spans="1:7" ht="12.75">
      <c r="A950" s="36" t="s">
        <v>1259</v>
      </c>
      <c r="B950" s="13" t="str">
        <f>HYPERLINK("http://www.konamito.com/ficha/?id=1821"," Lien")</f>
        <v> Lien</v>
      </c>
      <c r="C950" s="13">
        <v>2006</v>
      </c>
      <c r="D950" s="13" t="s">
        <v>503</v>
      </c>
      <c r="E950" s="14" t="s">
        <v>51</v>
      </c>
      <c r="F950" s="14" t="s">
        <v>21</v>
      </c>
      <c r="G950" s="13" t="s">
        <v>18</v>
      </c>
    </row>
    <row r="951" spans="1:7" ht="12.75">
      <c r="A951" s="17" t="s">
        <v>1260</v>
      </c>
      <c r="B951" s="18" t="str">
        <f>HYPERLINK("http://www.konamito.com/ficha/?id=1394"," Lien")</f>
        <v> Lien</v>
      </c>
      <c r="C951" s="18">
        <v>1988</v>
      </c>
      <c r="D951" s="18" t="s">
        <v>54</v>
      </c>
      <c r="E951" s="19" t="s">
        <v>55</v>
      </c>
      <c r="F951" s="19" t="s">
        <v>102</v>
      </c>
      <c r="G951" s="18" t="s">
        <v>11</v>
      </c>
    </row>
    <row r="952" spans="1:7" ht="12.75">
      <c r="A952" s="17" t="s">
        <v>1261</v>
      </c>
      <c r="B952" s="18" t="str">
        <f>HYPERLINK("http://www.generation-msx.nl/msxdb/softwareinfo/2281"," Lien")</f>
        <v> Lien</v>
      </c>
      <c r="C952" s="18">
        <v>1989</v>
      </c>
      <c r="D952" s="18" t="s">
        <v>91</v>
      </c>
      <c r="E952" s="19" t="s">
        <v>9</v>
      </c>
      <c r="F952" s="19" t="s">
        <v>10</v>
      </c>
      <c r="G952" s="18" t="s">
        <v>11</v>
      </c>
    </row>
    <row r="953" spans="1:7" ht="12.75">
      <c r="A953" s="17" t="s">
        <v>1262</v>
      </c>
      <c r="B953" s="18" t="str">
        <f>HYPERLINK("http://www.generation-msx.nl/msxdb/softwareinfo/2712"," Lien")</f>
        <v> Lien</v>
      </c>
      <c r="C953" s="18">
        <v>1988</v>
      </c>
      <c r="D953" s="18" t="s">
        <v>1263</v>
      </c>
      <c r="E953" s="19" t="s">
        <v>17</v>
      </c>
      <c r="F953" s="19" t="s">
        <v>10</v>
      </c>
      <c r="G953" s="18" t="s">
        <v>11</v>
      </c>
    </row>
    <row r="954" spans="1:7" ht="12.75">
      <c r="A954" s="17" t="s">
        <v>1264</v>
      </c>
      <c r="B954" s="18" t="str">
        <f>HYPERLINK("http://www.generation-msx.nl/msxdb/softwareinfo/2365"," Lien")</f>
        <v> Lien</v>
      </c>
      <c r="C954" s="18">
        <v>1986</v>
      </c>
      <c r="D954" s="18" t="s">
        <v>949</v>
      </c>
      <c r="E954" s="19" t="s">
        <v>291</v>
      </c>
      <c r="F954" s="19" t="s">
        <v>10</v>
      </c>
      <c r="G954" s="18" t="s">
        <v>11</v>
      </c>
    </row>
    <row r="955" spans="1:7" ht="12.75">
      <c r="A955" s="36" t="s">
        <v>1265</v>
      </c>
      <c r="B955" s="13" t="str">
        <f>HYPERLINK("http://www.generation-msx.nl/msxdb/softwareinfo/349"," Lien")</f>
        <v> Lien</v>
      </c>
      <c r="C955" s="13">
        <v>1984</v>
      </c>
      <c r="D955" s="13" t="s">
        <v>803</v>
      </c>
      <c r="E955" s="14" t="s">
        <v>9</v>
      </c>
      <c r="F955" s="14" t="s">
        <v>21</v>
      </c>
      <c r="G955" s="13" t="s">
        <v>18</v>
      </c>
    </row>
    <row r="956" spans="1:7" ht="12.75">
      <c r="A956" s="36" t="s">
        <v>1266</v>
      </c>
      <c r="B956" s="13" t="str">
        <f>HYPERLINK("http://www.generation-msx.nl/msxdb/softwareinfo/2766"," Lien")</f>
        <v> Lien</v>
      </c>
      <c r="C956" s="13">
        <v>1984</v>
      </c>
      <c r="D956" s="13" t="s">
        <v>938</v>
      </c>
      <c r="E956" s="14" t="s">
        <v>51</v>
      </c>
      <c r="F956" s="14" t="s">
        <v>10</v>
      </c>
      <c r="G956" s="13" t="s">
        <v>18</v>
      </c>
    </row>
    <row r="957" spans="1:7" ht="12.75">
      <c r="A957" s="132" t="s">
        <v>1267</v>
      </c>
      <c r="B957" s="18" t="str">
        <f>HYPERLINK("http://www.konamito.com/ficha/?id=910"," Lien")</f>
        <v> Lien</v>
      </c>
      <c r="C957" s="18">
        <v>2005</v>
      </c>
      <c r="D957" s="18" t="s">
        <v>456</v>
      </c>
      <c r="E957" s="19" t="s">
        <v>55</v>
      </c>
      <c r="F957" s="19" t="s">
        <v>21</v>
      </c>
      <c r="G957" s="18" t="s">
        <v>11</v>
      </c>
    </row>
    <row r="958" spans="1:7" ht="12.75">
      <c r="A958" s="132" t="s">
        <v>1268</v>
      </c>
      <c r="B958" s="18" t="str">
        <f>HYPERLINK("http://www.konamito.com/ficha/?id=941"," Lien")</f>
        <v> Lien</v>
      </c>
      <c r="C958" s="18">
        <v>2005</v>
      </c>
      <c r="D958" s="18" t="s">
        <v>1269</v>
      </c>
      <c r="E958" s="19" t="s">
        <v>55</v>
      </c>
      <c r="F958" s="19" t="s">
        <v>21</v>
      </c>
      <c r="G958" s="18" t="s">
        <v>11</v>
      </c>
    </row>
    <row r="959" spans="1:7" ht="12.75">
      <c r="A959" s="17" t="s">
        <v>1270</v>
      </c>
      <c r="B959" s="18" t="str">
        <f>HYPERLINK("http://www.generation-msx.nl/msxdb/softwareinfo/2166"," Lien")</f>
        <v> Lien</v>
      </c>
      <c r="C959" s="18">
        <v>1985</v>
      </c>
      <c r="D959" s="18" t="s">
        <v>1271</v>
      </c>
      <c r="E959" s="19" t="s">
        <v>67</v>
      </c>
      <c r="F959" s="19" t="s">
        <v>10</v>
      </c>
      <c r="G959" s="18" t="s">
        <v>11</v>
      </c>
    </row>
    <row r="960" spans="1:7" ht="12.75">
      <c r="A960" s="49" t="s">
        <v>1272</v>
      </c>
      <c r="B960" s="13" t="str">
        <f>HYPERLINK("http://www.generation-msx.nl/msxdb/softwareinfo/329"," Lien")</f>
        <v> Lien</v>
      </c>
      <c r="C960" s="13">
        <v>1984</v>
      </c>
      <c r="D960" s="13" t="s">
        <v>344</v>
      </c>
      <c r="E960" s="14" t="s">
        <v>9</v>
      </c>
      <c r="F960" s="14" t="s">
        <v>27</v>
      </c>
      <c r="G960" s="13" t="s">
        <v>18</v>
      </c>
    </row>
    <row r="961" spans="1:7" ht="12.75">
      <c r="A961" s="132" t="s">
        <v>1273</v>
      </c>
      <c r="B961" s="18" t="str">
        <f>HYPERLINK("http://www.generation-msx.nl/msxdb/softwareinfo/1029"," Lien")</f>
        <v> Lien</v>
      </c>
      <c r="C961" s="18">
        <v>1986</v>
      </c>
      <c r="D961" s="18" t="s">
        <v>1274</v>
      </c>
      <c r="E961" s="19" t="s">
        <v>291</v>
      </c>
      <c r="F961" s="19" t="s">
        <v>52</v>
      </c>
      <c r="G961" s="18" t="s">
        <v>11</v>
      </c>
    </row>
    <row r="962" spans="1:7" ht="12.75">
      <c r="A962" s="17" t="s">
        <v>1275</v>
      </c>
      <c r="B962" s="18"/>
      <c r="C962" s="18">
        <v>1985</v>
      </c>
      <c r="D962" s="18" t="s">
        <v>1276</v>
      </c>
      <c r="E962" s="19" t="s">
        <v>55</v>
      </c>
      <c r="F962" s="19" t="s">
        <v>102</v>
      </c>
      <c r="G962" s="18" t="s">
        <v>11</v>
      </c>
    </row>
    <row r="963" spans="1:7" ht="12.75">
      <c r="A963" s="17" t="s">
        <v>1277</v>
      </c>
      <c r="B963" s="18" t="str">
        <f>HYPERLINK("http://www.generation-msx.nl/msxdb/softwareinfo/74"," Lien")</f>
        <v> Lien</v>
      </c>
      <c r="C963" s="18">
        <v>1983</v>
      </c>
      <c r="D963" s="18" t="s">
        <v>23</v>
      </c>
      <c r="E963" s="19" t="s">
        <v>9</v>
      </c>
      <c r="F963" s="19" t="s">
        <v>21</v>
      </c>
      <c r="G963" s="18" t="s">
        <v>11</v>
      </c>
    </row>
    <row r="964" spans="1:7" ht="12.75">
      <c r="A964" s="17" t="s">
        <v>1278</v>
      </c>
      <c r="B964" s="18"/>
      <c r="C964" s="18">
        <v>1989</v>
      </c>
      <c r="D964" s="18" t="s">
        <v>1279</v>
      </c>
      <c r="E964" s="19" t="s">
        <v>24</v>
      </c>
      <c r="F964" s="19" t="s">
        <v>102</v>
      </c>
      <c r="G964" s="18" t="s">
        <v>11</v>
      </c>
    </row>
    <row r="965" spans="1:7" ht="12.75">
      <c r="A965" s="17" t="s">
        <v>1280</v>
      </c>
      <c r="B965" s="18"/>
      <c r="C965" s="18">
        <v>1990</v>
      </c>
      <c r="D965" s="18" t="s">
        <v>1192</v>
      </c>
      <c r="E965" s="19" t="s">
        <v>24</v>
      </c>
      <c r="F965" s="19" t="s">
        <v>102</v>
      </c>
      <c r="G965" s="18" t="s">
        <v>11</v>
      </c>
    </row>
    <row r="966" spans="1:7" ht="12.75">
      <c r="A966" s="132" t="s">
        <v>1281</v>
      </c>
      <c r="B966" s="18" t="str">
        <f>HYPERLINK("http://www.konamito.com/ficha/?id=1028"," Lien")</f>
        <v> Lien</v>
      </c>
      <c r="C966" s="18">
        <v>2006</v>
      </c>
      <c r="D966" s="18" t="s">
        <v>456</v>
      </c>
      <c r="E966" s="19" t="s">
        <v>9</v>
      </c>
      <c r="F966" s="19" t="s">
        <v>48</v>
      </c>
      <c r="G966" s="18" t="s">
        <v>11</v>
      </c>
    </row>
    <row r="967" spans="1:7" ht="12.75">
      <c r="A967" s="17" t="s">
        <v>1282</v>
      </c>
      <c r="B967" s="18" t="str">
        <f>HYPERLINK("http://www.generation-msx.nl/msxdb/softwareinfo/2989"," Lien")</f>
        <v> Lien</v>
      </c>
      <c r="C967" s="18">
        <v>1987</v>
      </c>
      <c r="D967" s="18" t="s">
        <v>119</v>
      </c>
      <c r="E967" s="19" t="s">
        <v>9</v>
      </c>
      <c r="F967" s="19" t="s">
        <v>10</v>
      </c>
      <c r="G967" s="18" t="s">
        <v>18</v>
      </c>
    </row>
    <row r="968" spans="1:7" ht="12.75">
      <c r="A968" s="49" t="s">
        <v>1283</v>
      </c>
      <c r="B968" s="13" t="str">
        <f>HYPERLINK("http://www.generation-msx.nl/msxdb/softwareinfo/1020"," Lien")</f>
        <v> Lien</v>
      </c>
      <c r="C968" s="13">
        <v>1987</v>
      </c>
      <c r="D968" s="13" t="s">
        <v>128</v>
      </c>
      <c r="E968" s="14" t="s">
        <v>9</v>
      </c>
      <c r="F968" s="14" t="s">
        <v>21</v>
      </c>
      <c r="G968" s="13" t="s">
        <v>18</v>
      </c>
    </row>
    <row r="969" spans="1:7" ht="12.75">
      <c r="A969" s="17" t="s">
        <v>1284</v>
      </c>
      <c r="B969" s="18" t="str">
        <f>HYPERLINK("http://www.generation-msx.nl/msxdb/softwareinfo/3147"," Lien")</f>
        <v> Lien</v>
      </c>
      <c r="C969" s="18">
        <v>1987</v>
      </c>
      <c r="D969" s="18" t="s">
        <v>198</v>
      </c>
      <c r="E969" s="19" t="s">
        <v>9</v>
      </c>
      <c r="F969" s="19" t="s">
        <v>10</v>
      </c>
      <c r="G969" s="18" t="s">
        <v>11</v>
      </c>
    </row>
    <row r="970" spans="1:7" ht="12.75">
      <c r="A970" s="17" t="s">
        <v>1285</v>
      </c>
      <c r="B970" s="18" t="str">
        <f>HYPERLINK("http://www.generation-msx.nl/msxdb/softwareinfo/3307"," Lien")</f>
        <v> Lien</v>
      </c>
      <c r="C970" s="18">
        <v>1988</v>
      </c>
      <c r="D970" s="18" t="s">
        <v>198</v>
      </c>
      <c r="E970" s="19" t="s">
        <v>9</v>
      </c>
      <c r="F970" s="19" t="s">
        <v>10</v>
      </c>
      <c r="G970" s="18" t="s">
        <v>11</v>
      </c>
    </row>
    <row r="971" spans="1:7" ht="12.75">
      <c r="A971" s="36" t="s">
        <v>1286</v>
      </c>
      <c r="B971" s="13" t="str">
        <f>HYPERLINK("http://www.generation-msx.nl/msxdb/softwareinfo/2733"," Lien")</f>
        <v> Lien</v>
      </c>
      <c r="C971" s="13">
        <v>1987</v>
      </c>
      <c r="D971" s="13" t="s">
        <v>135</v>
      </c>
      <c r="E971" s="14" t="s">
        <v>460</v>
      </c>
      <c r="F971" s="14" t="s">
        <v>10</v>
      </c>
      <c r="G971" s="13" t="s">
        <v>18</v>
      </c>
    </row>
    <row r="972" spans="1:7" ht="12.75">
      <c r="A972" s="36" t="s">
        <v>1287</v>
      </c>
      <c r="B972" s="13" t="str">
        <f>HYPERLINK("http://www.generation-msx.nl/msxdb/softwareinfo/656"," Lien")</f>
        <v> Lien</v>
      </c>
      <c r="C972" s="13">
        <v>1985</v>
      </c>
      <c r="D972" s="13" t="s">
        <v>109</v>
      </c>
      <c r="E972" s="14" t="s">
        <v>9</v>
      </c>
      <c r="F972" s="14" t="s">
        <v>27</v>
      </c>
      <c r="G972" s="13" t="s">
        <v>18</v>
      </c>
    </row>
    <row r="973" spans="1:7" ht="12.75">
      <c r="A973" s="36" t="s">
        <v>1288</v>
      </c>
      <c r="B973" s="13" t="str">
        <f>HYPERLINK("http://www.generation-msx.nl/msxdb/softwareinfo/2903"," Lien")</f>
        <v> Lien</v>
      </c>
      <c r="C973" s="13">
        <v>1987</v>
      </c>
      <c r="D973" s="13" t="s">
        <v>198</v>
      </c>
      <c r="E973" s="14" t="s">
        <v>110</v>
      </c>
      <c r="F973" s="14" t="s">
        <v>10</v>
      </c>
      <c r="G973" s="13" t="s">
        <v>18</v>
      </c>
    </row>
    <row r="974" spans="1:7" ht="12.75">
      <c r="A974" s="17" t="s">
        <v>1289</v>
      </c>
      <c r="B974" s="18"/>
      <c r="C974" s="18" t="s">
        <v>102</v>
      </c>
      <c r="D974" s="18" t="s">
        <v>1290</v>
      </c>
      <c r="E974" s="19" t="s">
        <v>55</v>
      </c>
      <c r="F974" s="19" t="s">
        <v>102</v>
      </c>
      <c r="G974" s="18" t="s">
        <v>11</v>
      </c>
    </row>
    <row r="975" spans="1:7" ht="12.75">
      <c r="A975" s="17" t="s">
        <v>1291</v>
      </c>
      <c r="B975" s="18" t="str">
        <f>HYPERLINK("http://www.generation-msx.nl/msxdb/softwareinfo/3337"," Lien")</f>
        <v> Lien</v>
      </c>
      <c r="C975" s="18">
        <v>1986</v>
      </c>
      <c r="D975" s="18" t="s">
        <v>649</v>
      </c>
      <c r="E975" s="19" t="s">
        <v>24</v>
      </c>
      <c r="F975" s="19" t="s">
        <v>10</v>
      </c>
      <c r="G975" s="18" t="s">
        <v>11</v>
      </c>
    </row>
    <row r="976" spans="1:7" ht="12.75">
      <c r="A976" s="17" t="s">
        <v>1292</v>
      </c>
      <c r="B976" s="18" t="str">
        <f>HYPERLINK("http://www.generation-msx.nl/msxdb/softwareinfo/2749"," Lien")</f>
        <v> Lien</v>
      </c>
      <c r="C976" s="18">
        <v>1987</v>
      </c>
      <c r="D976" s="18" t="s">
        <v>243</v>
      </c>
      <c r="E976" s="19" t="s">
        <v>17</v>
      </c>
      <c r="F976" s="19" t="s">
        <v>10</v>
      </c>
      <c r="G976" s="18" t="s">
        <v>11</v>
      </c>
    </row>
    <row r="977" spans="1:7" ht="12.75">
      <c r="A977" s="17" t="s">
        <v>1293</v>
      </c>
      <c r="B977" s="18"/>
      <c r="C977" s="18" t="s">
        <v>102</v>
      </c>
      <c r="D977" s="18" t="s">
        <v>102</v>
      </c>
      <c r="E977" s="19" t="s">
        <v>9</v>
      </c>
      <c r="F977" s="19" t="s">
        <v>102</v>
      </c>
      <c r="G977" s="18" t="s">
        <v>11</v>
      </c>
    </row>
    <row r="978" spans="1:7" ht="12.75">
      <c r="A978" s="17" t="s">
        <v>1294</v>
      </c>
      <c r="B978" s="18" t="str">
        <f>HYPERLINK("http://www.generation-msx.nl/msxdb/softwareinfo/2934"," Lien")</f>
        <v> Lien</v>
      </c>
      <c r="C978" s="18">
        <v>1985</v>
      </c>
      <c r="D978" s="18" t="s">
        <v>1295</v>
      </c>
      <c r="E978" s="19" t="s">
        <v>67</v>
      </c>
      <c r="F978" s="19" t="s">
        <v>10</v>
      </c>
      <c r="G978" s="18" t="s">
        <v>11</v>
      </c>
    </row>
    <row r="979" spans="1:7" ht="12.75">
      <c r="A979" s="36" t="s">
        <v>1296</v>
      </c>
      <c r="B979" s="13" t="str">
        <f>HYPERLINK("http://www.generation-msx.nl/msxdb/softwareinfo/2905"," Lien")</f>
        <v> Lien</v>
      </c>
      <c r="C979" s="13">
        <v>1984</v>
      </c>
      <c r="D979" s="13" t="s">
        <v>250</v>
      </c>
      <c r="E979" s="14" t="s">
        <v>24</v>
      </c>
      <c r="F979" s="14" t="s">
        <v>10</v>
      </c>
      <c r="G979" s="13" t="s">
        <v>18</v>
      </c>
    </row>
    <row r="980" spans="1:7" ht="12.75">
      <c r="A980" s="49" t="s">
        <v>1297</v>
      </c>
      <c r="B980" s="13" t="str">
        <f>HYPERLINK("http://www.generation-msx.nl/msxdb/softwareinfo/2803"," Lien")</f>
        <v> Lien</v>
      </c>
      <c r="C980" s="13">
        <v>1985</v>
      </c>
      <c r="D980" s="13" t="s">
        <v>123</v>
      </c>
      <c r="E980" s="14" t="s">
        <v>275</v>
      </c>
      <c r="F980" s="14" t="s">
        <v>10</v>
      </c>
      <c r="G980" s="13" t="s">
        <v>18</v>
      </c>
    </row>
    <row r="981" spans="1:7" ht="12.75">
      <c r="A981" s="17" t="s">
        <v>1298</v>
      </c>
      <c r="B981" s="18" t="str">
        <f>HYPERLINK("http://www.konamito.com/ficha/?id=1214"," Lien")</f>
        <v> Lien</v>
      </c>
      <c r="C981" s="18">
        <v>2006</v>
      </c>
      <c r="D981" s="18" t="s">
        <v>1299</v>
      </c>
      <c r="E981" s="19" t="s">
        <v>307</v>
      </c>
      <c r="F981" s="19" t="s">
        <v>21</v>
      </c>
      <c r="G981" s="18" t="s">
        <v>11</v>
      </c>
    </row>
    <row r="982" spans="1:7" ht="12.75">
      <c r="A982" s="17" t="s">
        <v>1300</v>
      </c>
      <c r="B982" s="18" t="str">
        <f>HYPERLINK("http://www.generation-msx.nl/msxdb/softwareinfo/3208"," Lien")</f>
        <v> Lien</v>
      </c>
      <c r="C982" s="18">
        <v>1988</v>
      </c>
      <c r="D982" s="18" t="s">
        <v>177</v>
      </c>
      <c r="E982" s="19" t="s">
        <v>275</v>
      </c>
      <c r="F982" s="19" t="s">
        <v>10</v>
      </c>
      <c r="G982" s="18" t="s">
        <v>11</v>
      </c>
    </row>
    <row r="983" spans="1:7" ht="12.75">
      <c r="A983" s="17" t="s">
        <v>1301</v>
      </c>
      <c r="B983" s="18" t="str">
        <f>HYPERLINK("http://www.generation-msx.nl/msxdb/softwareinfo/2892"," Lien")</f>
        <v> Lien</v>
      </c>
      <c r="C983" s="18">
        <v>1985</v>
      </c>
      <c r="D983" s="18" t="s">
        <v>383</v>
      </c>
      <c r="E983" s="19" t="s">
        <v>9</v>
      </c>
      <c r="F983" s="19" t="s">
        <v>10</v>
      </c>
      <c r="G983" s="18" t="s">
        <v>11</v>
      </c>
    </row>
    <row r="984" spans="1:7" ht="12.75">
      <c r="A984" s="17" t="s">
        <v>1302</v>
      </c>
      <c r="B984" s="18" t="str">
        <f>HYPERLINK("http://www.generation-msx.nl/msxdb/softwareinfo/3067"," Lien")</f>
        <v> Lien</v>
      </c>
      <c r="C984" s="18">
        <v>1989</v>
      </c>
      <c r="D984" s="18" t="s">
        <v>1303</v>
      </c>
      <c r="E984" s="19" t="s">
        <v>307</v>
      </c>
      <c r="F984" s="19" t="s">
        <v>102</v>
      </c>
      <c r="G984" s="18" t="s">
        <v>11</v>
      </c>
    </row>
    <row r="985" spans="1:7" ht="12.75">
      <c r="A985" s="17" t="s">
        <v>1304</v>
      </c>
      <c r="B985" s="18" t="str">
        <f>HYPERLINK("http://www.generation-msx.nl/msxdb/softwareinfo/2396"," Lien")</f>
        <v> Lien</v>
      </c>
      <c r="C985" s="18">
        <v>1986</v>
      </c>
      <c r="D985" s="18" t="s">
        <v>66</v>
      </c>
      <c r="E985" s="19" t="s">
        <v>275</v>
      </c>
      <c r="F985" s="19" t="s">
        <v>10</v>
      </c>
      <c r="G985" s="18" t="s">
        <v>11</v>
      </c>
    </row>
    <row r="986" spans="1:7" ht="12.75">
      <c r="A986" s="17" t="s">
        <v>1305</v>
      </c>
      <c r="B986" s="18" t="str">
        <f>HYPERLINK("http://www.generation-msx.nl/msxdb/softwareinfo/3222"," Lien")</f>
        <v> Lien</v>
      </c>
      <c r="C986" s="18">
        <v>1985</v>
      </c>
      <c r="D986" s="18" t="s">
        <v>875</v>
      </c>
      <c r="E986" s="19" t="s">
        <v>275</v>
      </c>
      <c r="F986" s="19" t="s">
        <v>10</v>
      </c>
      <c r="G986" s="18" t="s">
        <v>11</v>
      </c>
    </row>
    <row r="987" spans="1:7" ht="12.75">
      <c r="A987" s="51" t="s">
        <v>1306</v>
      </c>
      <c r="B987" s="126" t="str">
        <f>HYPERLINK("http://www.generation-msx.nl/msxdb/softwareinfo/3301"," Lien")</f>
        <v> Lien</v>
      </c>
      <c r="C987" s="126" t="s">
        <v>102</v>
      </c>
      <c r="D987" s="126" t="s">
        <v>181</v>
      </c>
      <c r="E987" s="54" t="s">
        <v>51</v>
      </c>
      <c r="F987" s="54" t="s">
        <v>10</v>
      </c>
      <c r="G987" s="126" t="s">
        <v>361</v>
      </c>
    </row>
    <row r="988" spans="1:7" ht="12.75">
      <c r="A988" s="17" t="s">
        <v>1307</v>
      </c>
      <c r="B988" s="18" t="str">
        <f>HYPERLINK("http://www.generation-msx.nl/msxdb/softwareinfo/3343"," Lien")</f>
        <v> Lien</v>
      </c>
      <c r="C988" s="18" t="s">
        <v>102</v>
      </c>
      <c r="D988" s="18" t="s">
        <v>579</v>
      </c>
      <c r="E988" s="19" t="s">
        <v>55</v>
      </c>
      <c r="F988" s="19" t="s">
        <v>10</v>
      </c>
      <c r="G988" s="18" t="s">
        <v>11</v>
      </c>
    </row>
    <row r="989" spans="1:7" ht="12.75">
      <c r="A989" s="51" t="s">
        <v>1308</v>
      </c>
      <c r="B989" s="126" t="str">
        <f>HYPERLINK("http://www.generation-msx.nl/msxdb/softwareinfo/1861"," Lien")</f>
        <v> Lien</v>
      </c>
      <c r="C989" s="126">
        <v>1986</v>
      </c>
      <c r="D989" s="126" t="s">
        <v>1309</v>
      </c>
      <c r="E989" s="54" t="s">
        <v>67</v>
      </c>
      <c r="F989" s="54" t="s">
        <v>21</v>
      </c>
      <c r="G989" s="126" t="s">
        <v>361</v>
      </c>
    </row>
    <row r="990" spans="1:7" ht="12.75">
      <c r="A990" s="17" t="s">
        <v>1310</v>
      </c>
      <c r="B990" s="18" t="str">
        <f>HYPERLINK("http://www.generation-msx.nl/msxdb/softwareinfo/2982"," Lien")</f>
        <v> Lien</v>
      </c>
      <c r="C990" s="18">
        <v>1986</v>
      </c>
      <c r="D990" s="18" t="s">
        <v>481</v>
      </c>
      <c r="E990" s="19" t="s">
        <v>51</v>
      </c>
      <c r="F990" s="19" t="s">
        <v>10</v>
      </c>
      <c r="G990" s="18" t="s">
        <v>11</v>
      </c>
    </row>
    <row r="991" spans="1:7" ht="12.75">
      <c r="A991" s="17" t="s">
        <v>1311</v>
      </c>
      <c r="B991" s="18" t="str">
        <f>HYPERLINK("http://www.konamito.com/ficha/?id=2226"," Lien")</f>
        <v> Lien</v>
      </c>
      <c r="C991" s="18">
        <v>1987</v>
      </c>
      <c r="D991" s="18" t="s">
        <v>1189</v>
      </c>
      <c r="E991" s="19" t="s">
        <v>9</v>
      </c>
      <c r="F991" s="19" t="s">
        <v>10</v>
      </c>
      <c r="G991" s="18" t="s">
        <v>11</v>
      </c>
    </row>
    <row r="992" spans="1:7" ht="12.75">
      <c r="A992" s="17" t="s">
        <v>1312</v>
      </c>
      <c r="B992" s="18" t="str">
        <f>HYPERLINK("http://www.konamito.com/ficha/?id=1829"," Lien")</f>
        <v> Lien</v>
      </c>
      <c r="C992" s="18">
        <v>2006</v>
      </c>
      <c r="D992" s="18" t="s">
        <v>1313</v>
      </c>
      <c r="E992" s="19" t="s">
        <v>323</v>
      </c>
      <c r="F992" s="19" t="s">
        <v>21</v>
      </c>
      <c r="G992" s="18" t="s">
        <v>11</v>
      </c>
    </row>
    <row r="993" spans="1:7" ht="12.75">
      <c r="A993" s="17" t="s">
        <v>1314</v>
      </c>
      <c r="B993" s="18" t="str">
        <f>HYPERLINK("http://www.generation-msx.nl/msxdb/softwareinfo/2185"," Lien")</f>
        <v> Lien</v>
      </c>
      <c r="C993" s="18">
        <v>1988</v>
      </c>
      <c r="D993" s="18" t="s">
        <v>634</v>
      </c>
      <c r="E993" s="19" t="s">
        <v>9</v>
      </c>
      <c r="F993" s="19" t="s">
        <v>10</v>
      </c>
      <c r="G993" s="18" t="s">
        <v>11</v>
      </c>
    </row>
    <row r="994" spans="1:7" ht="12.75">
      <c r="A994" s="17" t="s">
        <v>1315</v>
      </c>
      <c r="B994" s="18" t="str">
        <f>HYPERLINK("http://www.generation-msx.nl/msxdb/softwareinfo/2186"," Lien")</f>
        <v> Lien</v>
      </c>
      <c r="C994" s="18">
        <v>1988</v>
      </c>
      <c r="D994" s="18" t="s">
        <v>302</v>
      </c>
      <c r="E994" s="19" t="s">
        <v>460</v>
      </c>
      <c r="F994" s="19" t="s">
        <v>10</v>
      </c>
      <c r="G994" s="18" t="s">
        <v>11</v>
      </c>
    </row>
    <row r="995" spans="1:7" ht="12.75">
      <c r="A995" s="132" t="s">
        <v>1316</v>
      </c>
      <c r="B995" s="18" t="str">
        <f>HYPERLINK("http://www.generation-msx.nl/msxdb/softwareinfo/78"," Lien")</f>
        <v> Lien</v>
      </c>
      <c r="C995" s="128">
        <v>1983</v>
      </c>
      <c r="D995" s="128" t="s">
        <v>160</v>
      </c>
      <c r="E995" s="129" t="s">
        <v>24</v>
      </c>
      <c r="F995" s="129" t="s">
        <v>21</v>
      </c>
      <c r="G995" s="128" t="s">
        <v>11</v>
      </c>
    </row>
    <row r="996" spans="1:7" ht="12.75">
      <c r="A996" s="17" t="s">
        <v>1317</v>
      </c>
      <c r="B996" s="18" t="str">
        <f>HYPERLINK("http://www.generation-msx.nl/msxdb/softwareinfo/2134"," Lien")</f>
        <v> Lien</v>
      </c>
      <c r="C996" s="128">
        <v>1988</v>
      </c>
      <c r="D996" s="128" t="s">
        <v>73</v>
      </c>
      <c r="E996" s="129" t="s">
        <v>24</v>
      </c>
      <c r="F996" s="129" t="s">
        <v>10</v>
      </c>
      <c r="G996" s="128" t="s">
        <v>11</v>
      </c>
    </row>
    <row r="997" spans="1:7" ht="12.75">
      <c r="A997" s="17" t="s">
        <v>1318</v>
      </c>
      <c r="B997" s="18" t="str">
        <f>HYPERLINK("http://www.generation-msx.nl/msxdb/softwareinfo/2135"," Lien")</f>
        <v> Lien</v>
      </c>
      <c r="C997" s="18">
        <v>1991</v>
      </c>
      <c r="D997" s="18" t="s">
        <v>73</v>
      </c>
      <c r="E997" s="19" t="s">
        <v>24</v>
      </c>
      <c r="F997" s="19" t="s">
        <v>10</v>
      </c>
      <c r="G997" s="18" t="s">
        <v>11</v>
      </c>
    </row>
    <row r="998" spans="1:7" ht="12.75">
      <c r="A998" s="132" t="s">
        <v>1319</v>
      </c>
      <c r="B998" s="18" t="str">
        <f>HYPERLINK("http://www.generation-msx.nl/msxdb/softwareinfo/1026"," Lien")</f>
        <v> Lien</v>
      </c>
      <c r="C998" s="18">
        <v>1987</v>
      </c>
      <c r="D998" s="18" t="s">
        <v>387</v>
      </c>
      <c r="E998" s="19" t="s">
        <v>291</v>
      </c>
      <c r="F998" s="19" t="s">
        <v>52</v>
      </c>
      <c r="G998" s="18" t="s">
        <v>11</v>
      </c>
    </row>
    <row r="999" spans="1:7" ht="12.75">
      <c r="A999" s="17" t="s">
        <v>1320</v>
      </c>
      <c r="B999" s="18"/>
      <c r="C999" s="18">
        <v>1985</v>
      </c>
      <c r="D999" s="18" t="s">
        <v>1321</v>
      </c>
      <c r="E999" s="19" t="s">
        <v>207</v>
      </c>
      <c r="F999" s="19" t="s">
        <v>102</v>
      </c>
      <c r="G999" s="18" t="s">
        <v>11</v>
      </c>
    </row>
    <row r="1000" spans="1:7" ht="12.75">
      <c r="A1000" s="17" t="s">
        <v>1322</v>
      </c>
      <c r="B1000" s="18" t="str">
        <f>HYPERLINK("http://www.generation-msx.nl/msxdb/softwareinfo/1026"," Lien")</f>
        <v> Lien</v>
      </c>
      <c r="C1000" s="18">
        <v>2009</v>
      </c>
      <c r="D1000" s="18" t="s">
        <v>1323</v>
      </c>
      <c r="E1000" s="19" t="s">
        <v>24</v>
      </c>
      <c r="F1000" s="19" t="s">
        <v>21</v>
      </c>
      <c r="G1000" s="18" t="s">
        <v>11</v>
      </c>
    </row>
    <row r="1001" spans="1:7" ht="12.75">
      <c r="A1001" s="17" t="s">
        <v>1324</v>
      </c>
      <c r="B1001" s="18"/>
      <c r="C1001" s="18">
        <v>1989</v>
      </c>
      <c r="D1001" s="18" t="s">
        <v>1325</v>
      </c>
      <c r="E1001" s="19" t="s">
        <v>55</v>
      </c>
      <c r="F1001" s="19" t="s">
        <v>10</v>
      </c>
      <c r="G1001" s="18" t="s">
        <v>11</v>
      </c>
    </row>
    <row r="1002" spans="1:7" ht="12.75">
      <c r="A1002" s="17" t="s">
        <v>1326</v>
      </c>
      <c r="B1002" s="18" t="str">
        <f>HYPERLINK("http://www.generation-msx.nl/msxdb/softwareinfo/3225"," Lien")</f>
        <v> Lien</v>
      </c>
      <c r="C1002" s="18">
        <v>1987</v>
      </c>
      <c r="D1002" s="18" t="s">
        <v>85</v>
      </c>
      <c r="E1002" s="19" t="s">
        <v>51</v>
      </c>
      <c r="F1002" s="19" t="s">
        <v>10</v>
      </c>
      <c r="G1002" s="18" t="s">
        <v>11</v>
      </c>
    </row>
    <row r="1003" spans="1:7" ht="12.75">
      <c r="A1003" s="17" t="s">
        <v>1327</v>
      </c>
      <c r="B1003" s="18"/>
      <c r="C1003" s="18" t="s">
        <v>102</v>
      </c>
      <c r="D1003" s="18" t="s">
        <v>102</v>
      </c>
      <c r="E1003" s="19" t="s">
        <v>24</v>
      </c>
      <c r="F1003" s="19" t="s">
        <v>102</v>
      </c>
      <c r="G1003" s="18" t="s">
        <v>11</v>
      </c>
    </row>
    <row r="1004" spans="1:7" ht="12.75">
      <c r="A1004" s="17" t="s">
        <v>1328</v>
      </c>
      <c r="B1004" s="18" t="str">
        <f>HYPERLINK("http://www.generation-msx.nl/msxdb/softwareinfo/2308"," Lien")</f>
        <v> Lien</v>
      </c>
      <c r="C1004" s="18">
        <v>1989</v>
      </c>
      <c r="D1004" s="18" t="s">
        <v>113</v>
      </c>
      <c r="E1004" s="19" t="s">
        <v>9</v>
      </c>
      <c r="F1004" s="19" t="s">
        <v>10</v>
      </c>
      <c r="G1004" s="18" t="s">
        <v>11</v>
      </c>
    </row>
    <row r="1005" spans="1:7" ht="12.75">
      <c r="A1005" s="36" t="s">
        <v>1329</v>
      </c>
      <c r="B1005" s="13" t="str">
        <f>HYPERLINK("http://www.generation-msx.nl/msxdb/softwareinfo/3143"," Lien")</f>
        <v> Lien</v>
      </c>
      <c r="C1005" s="13">
        <v>1986</v>
      </c>
      <c r="D1005" s="13" t="s">
        <v>949</v>
      </c>
      <c r="E1005" s="14" t="s">
        <v>55</v>
      </c>
      <c r="F1005" s="14" t="s">
        <v>178</v>
      </c>
      <c r="G1005" s="13" t="s">
        <v>18</v>
      </c>
    </row>
    <row r="1006" spans="1:7" ht="12.75">
      <c r="A1006" s="17" t="s">
        <v>1330</v>
      </c>
      <c r="B1006" s="18" t="str">
        <f>HYPERLINK("http://www.generation-msx.nl/msxdb/softwareinfo/2136"," Lien")</f>
        <v> Lien</v>
      </c>
      <c r="C1006" s="18">
        <v>1989</v>
      </c>
      <c r="D1006" s="18" t="s">
        <v>73</v>
      </c>
      <c r="E1006" s="19" t="s">
        <v>17</v>
      </c>
      <c r="F1006" s="19" t="s">
        <v>10</v>
      </c>
      <c r="G1006" s="18" t="s">
        <v>11</v>
      </c>
    </row>
    <row r="1007" spans="1:7" ht="12.75">
      <c r="A1007" s="17" t="s">
        <v>1331</v>
      </c>
      <c r="B1007" s="18" t="str">
        <f>HYPERLINK("http://www.konamito.com/ficha/?id=1331"," Lien")</f>
        <v> Lien</v>
      </c>
      <c r="C1007" s="18">
        <v>1986</v>
      </c>
      <c r="D1007" s="18" t="s">
        <v>1332</v>
      </c>
      <c r="E1007" s="19" t="s">
        <v>275</v>
      </c>
      <c r="F1007" s="19" t="s">
        <v>102</v>
      </c>
      <c r="G1007" s="18" t="s">
        <v>11</v>
      </c>
    </row>
    <row r="1008" spans="1:7" ht="12.75">
      <c r="A1008" s="49" t="s">
        <v>1333</v>
      </c>
      <c r="B1008" s="13" t="str">
        <f>HYPERLINK("http://www.generation-msx.nl/msxdb/softwareinfo/858"," Lien")</f>
        <v> Lien</v>
      </c>
      <c r="C1008" s="13">
        <v>1986</v>
      </c>
      <c r="D1008" s="13" t="s">
        <v>206</v>
      </c>
      <c r="E1008" s="14" t="s">
        <v>55</v>
      </c>
      <c r="F1008" s="14" t="s">
        <v>21</v>
      </c>
      <c r="G1008" s="13" t="s">
        <v>18</v>
      </c>
    </row>
    <row r="1009" spans="1:7" ht="12.75">
      <c r="A1009" s="49" t="s">
        <v>1334</v>
      </c>
      <c r="B1009" s="13" t="str">
        <f>HYPERLINK("http://www.generation-msx.nl/msxdb/softwareinfo/340"," Lien")</f>
        <v> Lien</v>
      </c>
      <c r="C1009" s="13">
        <v>1984</v>
      </c>
      <c r="D1009" s="13" t="s">
        <v>23</v>
      </c>
      <c r="E1009" s="14" t="s">
        <v>275</v>
      </c>
      <c r="F1009" s="14" t="s">
        <v>21</v>
      </c>
      <c r="G1009" s="13" t="s">
        <v>18</v>
      </c>
    </row>
    <row r="1010" spans="1:7" ht="12.75">
      <c r="A1010" s="51" t="s">
        <v>1335</v>
      </c>
      <c r="B1010" s="126" t="str">
        <f>HYPERLINK("http://www.generation-msx.nl/msxdb/softwareinfo/2137"," Lien")</f>
        <v> Lien</v>
      </c>
      <c r="C1010" s="126">
        <v>1988</v>
      </c>
      <c r="D1010" s="126" t="s">
        <v>73</v>
      </c>
      <c r="E1010" s="54" t="s">
        <v>275</v>
      </c>
      <c r="F1010" s="54" t="s">
        <v>10</v>
      </c>
      <c r="G1010" s="126" t="s">
        <v>361</v>
      </c>
    </row>
    <row r="1011" spans="1:7" ht="12.75">
      <c r="A1011" s="17" t="s">
        <v>1336</v>
      </c>
      <c r="B1011" s="18" t="str">
        <f>HYPERLINK("http://www.generation-msx.nl/msxdb/softwareinfo/2173"," Lien")</f>
        <v> Lien</v>
      </c>
      <c r="C1011" s="18">
        <v>1986</v>
      </c>
      <c r="D1011" s="18" t="s">
        <v>302</v>
      </c>
      <c r="E1011" s="19" t="s">
        <v>275</v>
      </c>
      <c r="F1011" s="19" t="s">
        <v>10</v>
      </c>
      <c r="G1011" s="18" t="s">
        <v>11</v>
      </c>
    </row>
    <row r="1012" spans="1:7" ht="12.75">
      <c r="A1012" s="17" t="s">
        <v>1337</v>
      </c>
      <c r="B1012" s="18" t="str">
        <f>HYPERLINK("http://www.generation-msx.nl/msxdb/softwareinfo/2734"," Lien")</f>
        <v> Lien</v>
      </c>
      <c r="C1012" s="18">
        <v>1987</v>
      </c>
      <c r="D1012" s="18" t="s">
        <v>135</v>
      </c>
      <c r="E1012" s="19" t="s">
        <v>17</v>
      </c>
      <c r="F1012" s="19" t="s">
        <v>10</v>
      </c>
      <c r="G1012" s="18" t="s">
        <v>11</v>
      </c>
    </row>
    <row r="1013" spans="1:7" ht="12.75">
      <c r="A1013" s="17" t="s">
        <v>1338</v>
      </c>
      <c r="B1013" s="18"/>
      <c r="C1013" s="18" t="s">
        <v>102</v>
      </c>
      <c r="D1013" s="18" t="s">
        <v>102</v>
      </c>
      <c r="E1013" s="19" t="s">
        <v>55</v>
      </c>
      <c r="F1013" s="19" t="s">
        <v>102</v>
      </c>
      <c r="G1013" s="18" t="s">
        <v>11</v>
      </c>
    </row>
    <row r="1014" spans="1:7" ht="12.75">
      <c r="A1014" s="17" t="s">
        <v>1339</v>
      </c>
      <c r="B1014" s="18" t="str">
        <f>HYPERLINK("http://www.generation-msx.nl/msxdb/softwareinfo/2912"," Lien")</f>
        <v> Lien</v>
      </c>
      <c r="C1014" s="18">
        <v>1985</v>
      </c>
      <c r="D1014" s="18" t="s">
        <v>875</v>
      </c>
      <c r="E1014" s="19" t="s">
        <v>55</v>
      </c>
      <c r="F1014" s="19" t="s">
        <v>10</v>
      </c>
      <c r="G1014" s="18" t="s">
        <v>11</v>
      </c>
    </row>
    <row r="1015" spans="1:7" ht="12.75">
      <c r="A1015" s="17" t="s">
        <v>1340</v>
      </c>
      <c r="B1015" s="18" t="str">
        <f>HYPERLINK("http://www.generation-msx.nl/msxdb/softwareinfo/3023"," Lien")</f>
        <v> Lien</v>
      </c>
      <c r="C1015" s="18">
        <v>1987</v>
      </c>
      <c r="D1015" s="18" t="s">
        <v>466</v>
      </c>
      <c r="E1015" s="19" t="s">
        <v>275</v>
      </c>
      <c r="F1015" s="19" t="s">
        <v>178</v>
      </c>
      <c r="G1015" s="18" t="s">
        <v>11</v>
      </c>
    </row>
    <row r="1016" spans="1:7" ht="12.75">
      <c r="A1016" s="36" t="s">
        <v>1341</v>
      </c>
      <c r="B1016" s="13" t="str">
        <f>HYPERLINK("http://www.generation-msx.nl/msxdb/softwareinfo/663"," Lien")</f>
        <v> Lien</v>
      </c>
      <c r="C1016" s="13">
        <v>1985</v>
      </c>
      <c r="D1016" s="13" t="s">
        <v>344</v>
      </c>
      <c r="E1016" s="14" t="s">
        <v>17</v>
      </c>
      <c r="F1016" s="14" t="s">
        <v>21</v>
      </c>
      <c r="G1016" s="13" t="s">
        <v>18</v>
      </c>
    </row>
    <row r="1017" spans="1:7" ht="12.75">
      <c r="A1017" s="17" t="s">
        <v>1342</v>
      </c>
      <c r="B1017" s="18" t="str">
        <f>HYPERLINK("http://www.generation-msx.nl/msxdb/softwareinfo/3298"," Lien")</f>
        <v> Lien</v>
      </c>
      <c r="C1017" s="18">
        <v>1984</v>
      </c>
      <c r="D1017" s="18" t="s">
        <v>742</v>
      </c>
      <c r="E1017" s="19" t="s">
        <v>17</v>
      </c>
      <c r="F1017" s="19" t="s">
        <v>10</v>
      </c>
      <c r="G1017" s="18" t="s">
        <v>11</v>
      </c>
    </row>
    <row r="1018" spans="1:7" ht="12.75">
      <c r="A1018" s="17" t="s">
        <v>1343</v>
      </c>
      <c r="B1018" s="18" t="str">
        <f>HYPERLINK("http://www.konamito.com/ficha/?id=1150"," Lien")</f>
        <v> Lien</v>
      </c>
      <c r="C1018" s="18">
        <v>1985</v>
      </c>
      <c r="D1018" s="18" t="s">
        <v>769</v>
      </c>
      <c r="E1018" s="19" t="s">
        <v>58</v>
      </c>
      <c r="F1018" s="19" t="s">
        <v>10</v>
      </c>
      <c r="G1018" s="18" t="s">
        <v>11</v>
      </c>
    </row>
    <row r="1019" spans="1:7" ht="12.75">
      <c r="A1019" s="132" t="s">
        <v>1344</v>
      </c>
      <c r="B1019" s="18" t="str">
        <f>HYPERLINK("http://www.generation-msx.nl/msxdb/softwareinfo/1025"," Lien")</f>
        <v> Lien</v>
      </c>
      <c r="C1019" s="18">
        <v>1987</v>
      </c>
      <c r="D1019" s="18" t="s">
        <v>163</v>
      </c>
      <c r="E1019" s="19" t="s">
        <v>291</v>
      </c>
      <c r="F1019" s="19" t="s">
        <v>21</v>
      </c>
      <c r="G1019" s="18" t="s">
        <v>11</v>
      </c>
    </row>
    <row r="1020" spans="1:7" ht="12.75">
      <c r="A1020" s="17" t="s">
        <v>1345</v>
      </c>
      <c r="B1020" s="18"/>
      <c r="C1020" s="18">
        <v>1984</v>
      </c>
      <c r="D1020" s="18" t="s">
        <v>742</v>
      </c>
      <c r="E1020" s="19" t="s">
        <v>275</v>
      </c>
      <c r="F1020" s="19" t="s">
        <v>102</v>
      </c>
      <c r="G1020" s="18" t="s">
        <v>11</v>
      </c>
    </row>
    <row r="1021" spans="1:7" ht="12.75">
      <c r="A1021" s="17" t="s">
        <v>1346</v>
      </c>
      <c r="B1021" s="18" t="str">
        <f>HYPERLINK("http://www.generation-msx.nl/msxdb/softwareinfo/3363"," Lien")</f>
        <v> Lien</v>
      </c>
      <c r="C1021" s="18" t="s">
        <v>102</v>
      </c>
      <c r="D1021" s="18" t="s">
        <v>85</v>
      </c>
      <c r="E1021" s="19" t="s">
        <v>67</v>
      </c>
      <c r="F1021" s="19" t="s">
        <v>10</v>
      </c>
      <c r="G1021" s="18" t="s">
        <v>11</v>
      </c>
    </row>
    <row r="1022" spans="1:7" ht="12.75">
      <c r="A1022" s="36" t="s">
        <v>1347</v>
      </c>
      <c r="B1022" s="13" t="str">
        <f>HYPERLINK("http://www.generation-msx.nl/msxdb/softwareinfo/2088"," Lien")</f>
        <v> Lien</v>
      </c>
      <c r="C1022" s="13">
        <v>1986</v>
      </c>
      <c r="D1022" s="13" t="s">
        <v>115</v>
      </c>
      <c r="E1022" s="14" t="s">
        <v>67</v>
      </c>
      <c r="F1022" s="14" t="s">
        <v>10</v>
      </c>
      <c r="G1022" s="13" t="s">
        <v>18</v>
      </c>
    </row>
    <row r="1023" spans="1:7" ht="12.75">
      <c r="A1023" s="17" t="s">
        <v>1348</v>
      </c>
      <c r="B1023" s="18" t="str">
        <f>HYPERLINK("http://www.generation-msx.nl/msxdb/softwareinfo/3001"," Lien")</f>
        <v> Lien</v>
      </c>
      <c r="C1023" s="18">
        <v>1988</v>
      </c>
      <c r="D1023" s="18" t="s">
        <v>177</v>
      </c>
      <c r="E1023" s="19" t="s">
        <v>24</v>
      </c>
      <c r="F1023" s="19" t="s">
        <v>178</v>
      </c>
      <c r="G1023" s="18" t="s">
        <v>11</v>
      </c>
    </row>
    <row r="1024" spans="1:7" ht="12.75">
      <c r="A1024" s="17" t="s">
        <v>1349</v>
      </c>
      <c r="B1024" s="18" t="str">
        <f>HYPERLINK("http://www.generation-msx.nl/msxdb/softwareinfo/2831"," Lien")</f>
        <v> Lien</v>
      </c>
      <c r="C1024" s="18">
        <v>1987</v>
      </c>
      <c r="D1024" s="18" t="s">
        <v>481</v>
      </c>
      <c r="E1024" s="19" t="s">
        <v>58</v>
      </c>
      <c r="F1024" s="19" t="s">
        <v>27</v>
      </c>
      <c r="G1024" s="18" t="s">
        <v>11</v>
      </c>
    </row>
    <row r="1025" spans="1:7" ht="12.75">
      <c r="A1025" s="17" t="s">
        <v>1350</v>
      </c>
      <c r="B1025" s="18" t="str">
        <f>HYPERLINK("http://www.generation-msx.nl/msxdb/softwareinfo/2223"," Lien")</f>
        <v> Lien</v>
      </c>
      <c r="C1025" s="18">
        <v>1987</v>
      </c>
      <c r="D1025" s="18" t="s">
        <v>96</v>
      </c>
      <c r="E1025" s="19" t="s">
        <v>51</v>
      </c>
      <c r="F1025" s="19" t="s">
        <v>10</v>
      </c>
      <c r="G1025" s="18" t="s">
        <v>11</v>
      </c>
    </row>
    <row r="1026" spans="1:7" ht="24.75">
      <c r="A1026" s="49" t="s">
        <v>1351</v>
      </c>
      <c r="B1026" s="13" t="str">
        <f>HYPERLINK("http://www.generation-msx.nl/msxdb/softwareinfo/1258"," Lien")</f>
        <v> Lien</v>
      </c>
      <c r="C1026" s="13">
        <v>1989</v>
      </c>
      <c r="D1026" s="13" t="s">
        <v>1352</v>
      </c>
      <c r="E1026" s="14" t="s">
        <v>9</v>
      </c>
      <c r="F1026" s="14" t="s">
        <v>52</v>
      </c>
      <c r="G1026" s="13" t="s">
        <v>18</v>
      </c>
    </row>
    <row r="1027" spans="1:7" ht="12.75">
      <c r="A1027" s="17" t="s">
        <v>1353</v>
      </c>
      <c r="B1027" s="18" t="str">
        <f>HYPERLINK("http://www.generation-msx.nl/msxdb/softwareinfo/116"," Lien")</f>
        <v> Lien</v>
      </c>
      <c r="C1027" s="18">
        <v>1983</v>
      </c>
      <c r="D1027" s="18" t="s">
        <v>26</v>
      </c>
      <c r="E1027" s="19" t="s">
        <v>24</v>
      </c>
      <c r="F1027" s="19" t="s">
        <v>10</v>
      </c>
      <c r="G1027" s="18" t="s">
        <v>11</v>
      </c>
    </row>
    <row r="1028" spans="1:7" ht="12.75">
      <c r="A1028" s="36" t="s">
        <v>1354</v>
      </c>
      <c r="B1028" s="13" t="str">
        <f>HYPERLINK("http://www.generation-msx.nl/msxdb/softwareinfo/865"," Lien")</f>
        <v> Lien</v>
      </c>
      <c r="C1028" s="13">
        <v>1986</v>
      </c>
      <c r="D1028" s="13" t="s">
        <v>239</v>
      </c>
      <c r="E1028" s="14" t="s">
        <v>307</v>
      </c>
      <c r="F1028" s="14" t="s">
        <v>21</v>
      </c>
      <c r="G1028" s="13" t="s">
        <v>18</v>
      </c>
    </row>
    <row r="1029" spans="1:7" ht="12.75">
      <c r="A1029" s="36" t="s">
        <v>1355</v>
      </c>
      <c r="B1029" s="13" t="str">
        <f>HYPERLINK("http://www.generation-msx.nl/msxdb/softwareinfo/927"," Lien")</f>
        <v> Lien</v>
      </c>
      <c r="C1029" s="13">
        <v>1986</v>
      </c>
      <c r="D1029" s="13" t="s">
        <v>215</v>
      </c>
      <c r="E1029" s="14" t="s">
        <v>9</v>
      </c>
      <c r="F1029" s="14" t="s">
        <v>21</v>
      </c>
      <c r="G1029" s="13" t="s">
        <v>18</v>
      </c>
    </row>
    <row r="1030" spans="1:7" ht="12.75">
      <c r="A1030" s="17" t="s">
        <v>1356</v>
      </c>
      <c r="B1030" s="18" t="str">
        <f>HYPERLINK("http://www.generation-msx.nl/msxdb/softwareinfo/135"," Lien")</f>
        <v> Lien</v>
      </c>
      <c r="C1030" s="18">
        <v>1984</v>
      </c>
      <c r="D1030" s="18" t="s">
        <v>277</v>
      </c>
      <c r="E1030" s="19" t="s">
        <v>9</v>
      </c>
      <c r="F1030" s="19" t="s">
        <v>21</v>
      </c>
      <c r="G1030" s="18" t="s">
        <v>11</v>
      </c>
    </row>
    <row r="1031" spans="1:7" ht="12.75">
      <c r="A1031" s="49" t="s">
        <v>1357</v>
      </c>
      <c r="B1031" s="13" t="str">
        <f>HYPERLINK("http://www.generation-msx.nl/msxdb/softwareinfo/79"," Lien")</f>
        <v> Lien</v>
      </c>
      <c r="C1031" s="13">
        <v>1983</v>
      </c>
      <c r="D1031" s="13" t="s">
        <v>23</v>
      </c>
      <c r="E1031" s="14" t="s">
        <v>9</v>
      </c>
      <c r="F1031" s="14" t="s">
        <v>21</v>
      </c>
      <c r="G1031" s="13" t="s">
        <v>18</v>
      </c>
    </row>
    <row r="1032" spans="1:7" ht="12.75">
      <c r="A1032" s="132" t="s">
        <v>1358</v>
      </c>
      <c r="B1032" s="18" t="str">
        <f>HYPERLINK("http://www.generation-msx.nl/msxdb/softwareinfo/668"," Lien")</f>
        <v> Lien</v>
      </c>
      <c r="C1032" s="18">
        <v>1985</v>
      </c>
      <c r="D1032" s="18" t="s">
        <v>1359</v>
      </c>
      <c r="E1032" s="19" t="s">
        <v>307</v>
      </c>
      <c r="F1032" s="19" t="s">
        <v>10</v>
      </c>
      <c r="G1032" s="18" t="s">
        <v>11</v>
      </c>
    </row>
    <row r="1033" spans="1:7" ht="12.75">
      <c r="A1033" s="17" t="s">
        <v>1360</v>
      </c>
      <c r="B1033" s="18" t="str">
        <f>HYPERLINK("http://www.generation-msx.nl/msxdb/softwareinfo/1578"," Lien")</f>
        <v> Lien</v>
      </c>
      <c r="C1033" s="18">
        <v>1987</v>
      </c>
      <c r="D1033" s="18" t="s">
        <v>1359</v>
      </c>
      <c r="E1033" s="19" t="s">
        <v>307</v>
      </c>
      <c r="F1033" s="19" t="s">
        <v>21</v>
      </c>
      <c r="G1033" s="18" t="s">
        <v>11</v>
      </c>
    </row>
    <row r="1034" spans="1:7" ht="12.75">
      <c r="A1034" s="17" t="s">
        <v>1361</v>
      </c>
      <c r="B1034" s="18" t="str">
        <f>HYPERLINK("http://www.generation-msx.nl/msxdb/softwareinfo/2735"," Lien")</f>
        <v> Lien</v>
      </c>
      <c r="C1034" s="18">
        <v>1986</v>
      </c>
      <c r="D1034" s="18" t="s">
        <v>135</v>
      </c>
      <c r="E1034" s="19" t="s">
        <v>110</v>
      </c>
      <c r="F1034" s="19" t="s">
        <v>10</v>
      </c>
      <c r="G1034" s="18" t="s">
        <v>11</v>
      </c>
    </row>
    <row r="1035" spans="1:7" ht="12.75">
      <c r="A1035" s="36" t="s">
        <v>1362</v>
      </c>
      <c r="B1035" s="13" t="str">
        <f>HYPERLINK("http://www.generation-msx.nl/msxdb/softwareinfo/81"," Lien")</f>
        <v> Lien</v>
      </c>
      <c r="C1035" s="13">
        <v>1984</v>
      </c>
      <c r="D1035" s="13" t="s">
        <v>62</v>
      </c>
      <c r="E1035" s="14" t="s">
        <v>67</v>
      </c>
      <c r="F1035" s="14" t="s">
        <v>21</v>
      </c>
      <c r="G1035" s="13" t="s">
        <v>18</v>
      </c>
    </row>
    <row r="1036" spans="1:7" ht="12.75">
      <c r="A1036" s="17" t="s">
        <v>1363</v>
      </c>
      <c r="B1036" s="18"/>
      <c r="C1036" s="18" t="s">
        <v>102</v>
      </c>
      <c r="D1036" s="18" t="s">
        <v>102</v>
      </c>
      <c r="E1036" s="19" t="s">
        <v>51</v>
      </c>
      <c r="F1036" s="19" t="s">
        <v>102</v>
      </c>
      <c r="G1036" s="18" t="s">
        <v>11</v>
      </c>
    </row>
    <row r="1037" spans="1:7" ht="24.75">
      <c r="A1037" s="49" t="s">
        <v>1364</v>
      </c>
      <c r="B1037" s="13" t="str">
        <f>HYPERLINK("http://www.generation-msx.nl/msxdb/softwareinfo/974"," Lien")</f>
        <v> Lien</v>
      </c>
      <c r="C1037" s="13">
        <v>1987</v>
      </c>
      <c r="D1037" s="13" t="s">
        <v>107</v>
      </c>
      <c r="E1037" s="14" t="s">
        <v>291</v>
      </c>
      <c r="F1037" s="14" t="s">
        <v>52</v>
      </c>
      <c r="G1037" s="13" t="s">
        <v>18</v>
      </c>
    </row>
    <row r="1038" spans="1:7" ht="12.75">
      <c r="A1038" s="17" t="s">
        <v>1365</v>
      </c>
      <c r="B1038" s="18" t="str">
        <f>HYPERLINK("http://www.generation-msx.nl/msxdb/softwareinfo/2717"," Lien")</f>
        <v> Lien</v>
      </c>
      <c r="C1038" s="18">
        <v>1986</v>
      </c>
      <c r="D1038" s="18" t="s">
        <v>506</v>
      </c>
      <c r="E1038" s="19" t="s">
        <v>207</v>
      </c>
      <c r="F1038" s="19" t="s">
        <v>10</v>
      </c>
      <c r="G1038" s="18" t="s">
        <v>11</v>
      </c>
    </row>
    <row r="1039" spans="1:7" ht="12.75">
      <c r="A1039" s="49" t="s">
        <v>1366</v>
      </c>
      <c r="B1039" s="13" t="str">
        <f>HYPERLINK("http://www.generation-msx.nl/msxdb/softwareinfo/868"," Lien")</f>
        <v> Lien</v>
      </c>
      <c r="C1039" s="13">
        <v>1984</v>
      </c>
      <c r="D1039" s="13" t="s">
        <v>903</v>
      </c>
      <c r="E1039" s="14" t="s">
        <v>24</v>
      </c>
      <c r="F1039" s="14" t="s">
        <v>21</v>
      </c>
      <c r="G1039" s="13" t="s">
        <v>18</v>
      </c>
    </row>
    <row r="1040" spans="1:7" ht="12.75">
      <c r="A1040" s="139" t="s">
        <v>1367</v>
      </c>
      <c r="B1040" s="13" t="str">
        <f>HYPERLINK("http://msxdev.msxblue.com/?page_id=275"," Lien")</f>
        <v> Lien</v>
      </c>
      <c r="C1040" s="13">
        <v>2006</v>
      </c>
      <c r="D1040" s="13" t="s">
        <v>1368</v>
      </c>
      <c r="E1040" s="14" t="s">
        <v>291</v>
      </c>
      <c r="F1040" s="14" t="s">
        <v>52</v>
      </c>
      <c r="G1040" s="13" t="s">
        <v>18</v>
      </c>
    </row>
    <row r="1041" spans="1:7" ht="12.75">
      <c r="A1041" s="17" t="s">
        <v>1369</v>
      </c>
      <c r="B1041" s="18"/>
      <c r="C1041" s="18">
        <v>1994</v>
      </c>
      <c r="D1041" s="18" t="s">
        <v>780</v>
      </c>
      <c r="E1041" s="19" t="s">
        <v>24</v>
      </c>
      <c r="F1041" s="19" t="s">
        <v>102</v>
      </c>
      <c r="G1041" s="18" t="s">
        <v>11</v>
      </c>
    </row>
    <row r="1042" spans="1:7" ht="12.75">
      <c r="A1042" s="132" t="s">
        <v>1370</v>
      </c>
      <c r="B1042" s="18" t="str">
        <f>HYPERLINK("http://www.generation-msx.nl/msxdb/softwareinfo/77"," Lien")</f>
        <v> Lien</v>
      </c>
      <c r="C1042" s="18">
        <v>1983</v>
      </c>
      <c r="D1042" s="18" t="s">
        <v>23</v>
      </c>
      <c r="E1042" s="19" t="s">
        <v>275</v>
      </c>
      <c r="F1042" s="19" t="s">
        <v>21</v>
      </c>
      <c r="G1042" s="18" t="s">
        <v>11</v>
      </c>
    </row>
    <row r="1043" spans="1:7" ht="12.75">
      <c r="A1043" s="36" t="s">
        <v>1371</v>
      </c>
      <c r="B1043" s="13" t="str">
        <f>HYPERLINK("http://www.generation-msx.nl/msxdb/softwareinfo/348"," Lien")</f>
        <v> Lien</v>
      </c>
      <c r="C1043" s="13">
        <v>1984</v>
      </c>
      <c r="D1043" s="13" t="s">
        <v>20</v>
      </c>
      <c r="E1043" s="14" t="s">
        <v>24</v>
      </c>
      <c r="F1043" s="14" t="s">
        <v>21</v>
      </c>
      <c r="G1043" s="13" t="s">
        <v>18</v>
      </c>
    </row>
    <row r="1044" spans="1:7" ht="12.75">
      <c r="A1044" s="17" t="s">
        <v>1372</v>
      </c>
      <c r="B1044" s="18" t="str">
        <f>HYPERLINK("http://www.konamito.com/ficha/?id=719"," Lien")</f>
        <v> Lien</v>
      </c>
      <c r="C1044" s="18">
        <v>1985</v>
      </c>
      <c r="D1044" s="18" t="s">
        <v>769</v>
      </c>
      <c r="E1044" s="19" t="s">
        <v>275</v>
      </c>
      <c r="F1044" s="19" t="s">
        <v>102</v>
      </c>
      <c r="G1044" s="18" t="s">
        <v>11</v>
      </c>
    </row>
    <row r="1045" spans="1:7" ht="12.75">
      <c r="A1045" s="17" t="s">
        <v>1373</v>
      </c>
      <c r="B1045" s="18" t="str">
        <f>HYPERLINK("http://www.generation-msx.nl/msxdb/softwareinfo/2397"," Lien")</f>
        <v> Lien</v>
      </c>
      <c r="C1045" s="18">
        <v>1986</v>
      </c>
      <c r="D1045" s="18" t="s">
        <v>466</v>
      </c>
      <c r="E1045" s="19" t="s">
        <v>24</v>
      </c>
      <c r="F1045" s="19" t="s">
        <v>27</v>
      </c>
      <c r="G1045" s="18" t="s">
        <v>11</v>
      </c>
    </row>
    <row r="1046" spans="1:7" ht="12.75">
      <c r="A1046" s="17" t="s">
        <v>1374</v>
      </c>
      <c r="B1046" s="18" t="str">
        <f>HYPERLINK("http://www.generation-msx.nl/msxdb/softwareinfo/3433"," Lien")</f>
        <v> Lien</v>
      </c>
      <c r="C1046" s="18">
        <v>1989</v>
      </c>
      <c r="D1046" s="18" t="s">
        <v>16</v>
      </c>
      <c r="E1046" s="19" t="s">
        <v>9</v>
      </c>
      <c r="F1046" s="19" t="s">
        <v>10</v>
      </c>
      <c r="G1046" s="18" t="s">
        <v>11</v>
      </c>
    </row>
    <row r="1047" spans="1:7" ht="12.75">
      <c r="A1047" s="36" t="s">
        <v>1375</v>
      </c>
      <c r="B1047" s="13" t="str">
        <f>HYPERLINK("http://www.generation-msx.nl/msxdb/softwareinfo/669"," Lien")</f>
        <v> Lien</v>
      </c>
      <c r="C1047" s="13">
        <v>1985</v>
      </c>
      <c r="D1047" s="13" t="s">
        <v>62</v>
      </c>
      <c r="E1047" s="14" t="s">
        <v>9</v>
      </c>
      <c r="F1047" s="14" t="s">
        <v>21</v>
      </c>
      <c r="G1047" s="13" t="s">
        <v>18</v>
      </c>
    </row>
    <row r="1048" spans="1:7" ht="12.75">
      <c r="A1048" s="49" t="s">
        <v>1376</v>
      </c>
      <c r="B1048" s="13" t="str">
        <f>HYPERLINK("http://www.generation-msx.nl/msxdb/softwareinfo/867"," Lien")</f>
        <v> Lien</v>
      </c>
      <c r="C1048" s="13">
        <v>1986</v>
      </c>
      <c r="D1048" s="13" t="s">
        <v>941</v>
      </c>
      <c r="E1048" s="14" t="s">
        <v>207</v>
      </c>
      <c r="F1048" s="14" t="s">
        <v>21</v>
      </c>
      <c r="G1048" s="13" t="s">
        <v>18</v>
      </c>
    </row>
    <row r="1049" spans="1:7" ht="12.75">
      <c r="A1049" s="17" t="s">
        <v>1377</v>
      </c>
      <c r="B1049" s="18" t="str">
        <f>HYPERLINK("http://www.generation-msx.nl/msxdb/softwareinfo/3175"," Lien")</f>
        <v> Lien</v>
      </c>
      <c r="C1049" s="18">
        <v>1988</v>
      </c>
      <c r="D1049" s="18" t="s">
        <v>378</v>
      </c>
      <c r="E1049" s="19" t="s">
        <v>110</v>
      </c>
      <c r="F1049" s="19" t="s">
        <v>10</v>
      </c>
      <c r="G1049" s="18" t="s">
        <v>11</v>
      </c>
    </row>
    <row r="1050" spans="1:7" ht="12.75">
      <c r="A1050" s="17" t="s">
        <v>1378</v>
      </c>
      <c r="B1050" s="18" t="str">
        <f>HYPERLINK("http://www.generation-msx.nl/msxdb/softwareinfo/2091"," Lien")</f>
        <v> Lien</v>
      </c>
      <c r="C1050" s="18">
        <v>1990</v>
      </c>
      <c r="D1050" s="18" t="s">
        <v>64</v>
      </c>
      <c r="E1050" s="19" t="s">
        <v>9</v>
      </c>
      <c r="F1050" s="19" t="s">
        <v>10</v>
      </c>
      <c r="G1050" s="18" t="s">
        <v>11</v>
      </c>
    </row>
    <row r="1051" spans="1:7" ht="12.75">
      <c r="A1051" s="17" t="s">
        <v>1379</v>
      </c>
      <c r="B1051" s="18" t="str">
        <f>HYPERLINK("http://www.generation-msx.nl/msxdb/softwareinfo/3315"," Lien")</f>
        <v> Lien</v>
      </c>
      <c r="C1051" s="18">
        <v>1986</v>
      </c>
      <c r="D1051" s="18" t="s">
        <v>319</v>
      </c>
      <c r="E1051" s="19" t="s">
        <v>307</v>
      </c>
      <c r="F1051" s="19" t="s">
        <v>10</v>
      </c>
      <c r="G1051" s="18" t="s">
        <v>11</v>
      </c>
    </row>
    <row r="1052" spans="1:7" ht="12.75">
      <c r="A1052" s="17" t="s">
        <v>1380</v>
      </c>
      <c r="B1052" s="18" t="str">
        <f>HYPERLINK("http://www.generation-msx.nl/msxdb/softwareinfo/2256"," Lien")</f>
        <v> Lien</v>
      </c>
      <c r="C1052" s="18">
        <v>1989</v>
      </c>
      <c r="D1052" s="18" t="s">
        <v>69</v>
      </c>
      <c r="E1052" s="19" t="s">
        <v>9</v>
      </c>
      <c r="F1052" s="19" t="s">
        <v>10</v>
      </c>
      <c r="G1052" s="18" t="s">
        <v>11</v>
      </c>
    </row>
    <row r="1053" spans="1:7" ht="12.75">
      <c r="A1053" s="17" t="s">
        <v>1381</v>
      </c>
      <c r="B1053" s="18"/>
      <c r="C1053" s="18">
        <v>1988</v>
      </c>
      <c r="D1053" s="18" t="s">
        <v>135</v>
      </c>
      <c r="E1053" s="19" t="s">
        <v>17</v>
      </c>
      <c r="F1053" s="19" t="s">
        <v>10</v>
      </c>
      <c r="G1053" s="18" t="s">
        <v>11</v>
      </c>
    </row>
    <row r="1054" spans="1:7" ht="12.75">
      <c r="A1054" s="17" t="s">
        <v>1382</v>
      </c>
      <c r="B1054" s="18" t="str">
        <f>HYPERLINK("http://www.generation-msx.nl/msxdb/softwareinfo/2089"," Lien")</f>
        <v> Lien</v>
      </c>
      <c r="C1054" s="18">
        <v>1986</v>
      </c>
      <c r="D1054" s="18" t="s">
        <v>115</v>
      </c>
      <c r="E1054" s="19" t="s">
        <v>67</v>
      </c>
      <c r="F1054" s="19" t="s">
        <v>10</v>
      </c>
      <c r="G1054" s="18" t="s">
        <v>11</v>
      </c>
    </row>
    <row r="1055" spans="1:7" ht="12.75">
      <c r="A1055" s="17" t="s">
        <v>1383</v>
      </c>
      <c r="B1055" s="18" t="str">
        <f>HYPERLINK("http://www.generation-msx.nl/msxdb/softwareinfo/2282"," Lien")</f>
        <v> Lien</v>
      </c>
      <c r="C1055" s="18">
        <v>1990</v>
      </c>
      <c r="D1055" s="18" t="s">
        <v>91</v>
      </c>
      <c r="E1055" s="19" t="s">
        <v>17</v>
      </c>
      <c r="F1055" s="19" t="s">
        <v>10</v>
      </c>
      <c r="G1055" s="18" t="s">
        <v>11</v>
      </c>
    </row>
    <row r="1056" spans="1:7" ht="12.75">
      <c r="A1056" s="17" t="s">
        <v>1384</v>
      </c>
      <c r="B1056" s="18"/>
      <c r="C1056" s="18">
        <v>1985</v>
      </c>
      <c r="D1056" s="18" t="s">
        <v>1070</v>
      </c>
      <c r="E1056" s="19" t="s">
        <v>275</v>
      </c>
      <c r="F1056" s="19" t="s">
        <v>102</v>
      </c>
      <c r="G1056" s="18" t="s">
        <v>11</v>
      </c>
    </row>
    <row r="1057" spans="1:7" ht="12.75">
      <c r="A1057" s="36" t="s">
        <v>1385</v>
      </c>
      <c r="B1057" s="13" t="str">
        <f>HYPERLINK("http://www.generation-msx.nl/msxdb/softwareinfo/73"," Lien")</f>
        <v> Lien</v>
      </c>
      <c r="C1057" s="13">
        <v>1983</v>
      </c>
      <c r="D1057" s="13" t="s">
        <v>206</v>
      </c>
      <c r="E1057" s="14" t="s">
        <v>51</v>
      </c>
      <c r="F1057" s="14" t="s">
        <v>21</v>
      </c>
      <c r="G1057" s="13" t="s">
        <v>18</v>
      </c>
    </row>
    <row r="1058" spans="1:7" ht="12.75">
      <c r="A1058" s="132" t="s">
        <v>1386</v>
      </c>
      <c r="B1058" s="18" t="str">
        <f>HYPERLINK("http://msxdev.msxblue.com/?page_id=75"," Lien")</f>
        <v> Lien</v>
      </c>
      <c r="C1058" s="18">
        <v>2004</v>
      </c>
      <c r="D1058" s="18" t="s">
        <v>731</v>
      </c>
      <c r="E1058" s="19" t="s">
        <v>275</v>
      </c>
      <c r="F1058" s="19" t="s">
        <v>21</v>
      </c>
      <c r="G1058" s="18" t="s">
        <v>11</v>
      </c>
    </row>
    <row r="1059" spans="1:7" ht="12.75">
      <c r="A1059" s="36" t="s">
        <v>1387</v>
      </c>
      <c r="B1059" s="13" t="str">
        <f>HYPERLINK("http://www.generation-msx.nl/msxdb/softwareinfo/333"," Lien")</f>
        <v> Lien</v>
      </c>
      <c r="C1059" s="13">
        <v>1984</v>
      </c>
      <c r="D1059" s="13" t="s">
        <v>215</v>
      </c>
      <c r="E1059" s="14" t="s">
        <v>9</v>
      </c>
      <c r="F1059" s="14" t="s">
        <v>21</v>
      </c>
      <c r="G1059" s="13" t="s">
        <v>18</v>
      </c>
    </row>
    <row r="1060" spans="1:7" ht="12.75">
      <c r="A1060" s="49" t="s">
        <v>1388</v>
      </c>
      <c r="B1060" s="13" t="str">
        <f>HYPERLINK("http://www.generation-msx.nl/msxdb/softwareinfo/334"," Lien")</f>
        <v> Lien</v>
      </c>
      <c r="C1060" s="13">
        <v>1984</v>
      </c>
      <c r="D1060" s="46" t="s">
        <v>1389</v>
      </c>
      <c r="E1060" s="14" t="s">
        <v>275</v>
      </c>
      <c r="F1060" s="14" t="s">
        <v>21</v>
      </c>
      <c r="G1060" s="13" t="s">
        <v>18</v>
      </c>
    </row>
    <row r="1061" spans="1:7" ht="12.75">
      <c r="A1061" s="49" t="s">
        <v>1390</v>
      </c>
      <c r="B1061" s="13" t="str">
        <f>HYPERLINK("http://www.generation-msx.nl/msxdb/softwareinfo/335"," Lien")</f>
        <v> Lien</v>
      </c>
      <c r="C1061" s="13">
        <v>1984</v>
      </c>
      <c r="D1061" s="46" t="s">
        <v>1389</v>
      </c>
      <c r="E1061" s="14" t="s">
        <v>275</v>
      </c>
      <c r="F1061" s="14" t="s">
        <v>21</v>
      </c>
      <c r="G1061" s="13" t="s">
        <v>18</v>
      </c>
    </row>
    <row r="1062" spans="1:7" ht="12.75">
      <c r="A1062" s="36" t="s">
        <v>1391</v>
      </c>
      <c r="B1062" s="13" t="str">
        <f>HYPERLINK("http://www.generation-msx.nl/msxdb/softwareinfo/660"," Lien")</f>
        <v> Lien</v>
      </c>
      <c r="C1062" s="13">
        <v>1985</v>
      </c>
      <c r="D1062" s="46" t="s">
        <v>1389</v>
      </c>
      <c r="E1062" s="14" t="s">
        <v>275</v>
      </c>
      <c r="F1062" s="14" t="s">
        <v>21</v>
      </c>
      <c r="G1062" s="13" t="s">
        <v>18</v>
      </c>
    </row>
    <row r="1063" spans="1:7" ht="12.75">
      <c r="A1063" s="17" t="s">
        <v>1392</v>
      </c>
      <c r="B1063" s="18" t="str">
        <f>HYPERLINK("http://www.generation-msx.nl/msxdb/softwareinfo/332"," Lien")</f>
        <v> Lien</v>
      </c>
      <c r="C1063" s="18">
        <v>1984</v>
      </c>
      <c r="D1063" s="18" t="s">
        <v>1393</v>
      </c>
      <c r="E1063" s="19" t="s">
        <v>207</v>
      </c>
      <c r="F1063" s="19" t="s">
        <v>10</v>
      </c>
      <c r="G1063" s="18" t="s">
        <v>11</v>
      </c>
    </row>
    <row r="1064" spans="1:7" ht="12.75">
      <c r="A1064" s="140" t="s">
        <v>1394</v>
      </c>
      <c r="B1064" s="13" t="str">
        <f>HYPERLINK("http://msxdev.msxblue.com/?page_id=305"," Lien")</f>
        <v> Lien</v>
      </c>
      <c r="C1064" s="13">
        <v>2007</v>
      </c>
      <c r="D1064" s="13" t="s">
        <v>1368</v>
      </c>
      <c r="E1064" s="14" t="s">
        <v>83</v>
      </c>
      <c r="F1064" s="14" t="s">
        <v>21</v>
      </c>
      <c r="G1064" s="13" t="s">
        <v>18</v>
      </c>
    </row>
    <row r="1065" spans="1:7" ht="12.75">
      <c r="A1065" s="17" t="s">
        <v>1395</v>
      </c>
      <c r="B1065" s="18" t="str">
        <f>HYPERLINK("http://www.generation-msx.nl/msxdb/softwareinfo/2937"," Lien")</f>
        <v> Lien</v>
      </c>
      <c r="C1065" s="18">
        <v>1984</v>
      </c>
      <c r="D1065" s="18" t="s">
        <v>1396</v>
      </c>
      <c r="E1065" s="19" t="s">
        <v>51</v>
      </c>
      <c r="F1065" s="19" t="s">
        <v>10</v>
      </c>
      <c r="G1065" s="18" t="s">
        <v>11</v>
      </c>
    </row>
    <row r="1066" spans="1:7" ht="12.75">
      <c r="A1066" s="141" t="s">
        <v>1397</v>
      </c>
      <c r="B1066" s="13" t="str">
        <f>HYPERLINK("http://www.generation-msx.nl/msxdb/softwareinfo/272"," Lien")</f>
        <v> Lien</v>
      </c>
      <c r="C1066" s="13">
        <v>1984</v>
      </c>
      <c r="D1066" s="13" t="s">
        <v>919</v>
      </c>
      <c r="E1066" s="14" t="s">
        <v>17</v>
      </c>
      <c r="F1066" s="14" t="s">
        <v>21</v>
      </c>
      <c r="G1066" s="13" t="s">
        <v>18</v>
      </c>
    </row>
    <row r="1067" spans="1:7" ht="12.75">
      <c r="A1067" s="17" t="s">
        <v>1398</v>
      </c>
      <c r="B1067" s="18" t="str">
        <f>HYPERLINK("http://www.konamito.com/ficha/?id=1368"," Lien")</f>
        <v> Lien</v>
      </c>
      <c r="C1067" s="18">
        <v>1986</v>
      </c>
      <c r="D1067" s="18" t="s">
        <v>1399</v>
      </c>
      <c r="E1067" s="19" t="s">
        <v>460</v>
      </c>
      <c r="F1067" s="19" t="s">
        <v>102</v>
      </c>
      <c r="G1067" s="18" t="s">
        <v>11</v>
      </c>
    </row>
    <row r="1068" spans="1:7" ht="12.75">
      <c r="A1068" s="36" t="s">
        <v>1400</v>
      </c>
      <c r="B1068" s="13"/>
      <c r="C1068" s="13">
        <v>1989</v>
      </c>
      <c r="D1068" s="13" t="s">
        <v>87</v>
      </c>
      <c r="E1068" s="14" t="s">
        <v>83</v>
      </c>
      <c r="F1068" s="14" t="s">
        <v>48</v>
      </c>
      <c r="G1068" s="13" t="s">
        <v>18</v>
      </c>
    </row>
    <row r="1069" spans="1:7" ht="12.75">
      <c r="A1069" s="132" t="s">
        <v>1401</v>
      </c>
      <c r="B1069" s="18" t="str">
        <f>HYPERLINK("http://www.generation-msx.nl/msxdb/softwareinfo/11"," Lien")</f>
        <v> Lien</v>
      </c>
      <c r="C1069" s="18">
        <v>1983</v>
      </c>
      <c r="D1069" s="18" t="s">
        <v>23</v>
      </c>
      <c r="E1069" s="19" t="s">
        <v>17</v>
      </c>
      <c r="F1069" s="19" t="s">
        <v>21</v>
      </c>
      <c r="G1069" s="18" t="s">
        <v>11</v>
      </c>
    </row>
    <row r="1070" spans="1:7" ht="12.75">
      <c r="A1070" s="17" t="s">
        <v>1402</v>
      </c>
      <c r="B1070" s="18"/>
      <c r="C1070" s="18">
        <v>1985</v>
      </c>
      <c r="D1070" s="18" t="s">
        <v>1403</v>
      </c>
      <c r="E1070" s="19" t="s">
        <v>275</v>
      </c>
      <c r="F1070" s="19" t="s">
        <v>102</v>
      </c>
      <c r="G1070" s="18" t="s">
        <v>11</v>
      </c>
    </row>
    <row r="1071" spans="1:7" ht="12.75">
      <c r="A1071" s="17" t="s">
        <v>1404</v>
      </c>
      <c r="B1071" s="18"/>
      <c r="C1071" s="18">
        <v>1986</v>
      </c>
      <c r="D1071" s="18" t="s">
        <v>1405</v>
      </c>
      <c r="E1071" s="19" t="s">
        <v>51</v>
      </c>
      <c r="F1071" s="19" t="s">
        <v>102</v>
      </c>
      <c r="G1071" s="18" t="s">
        <v>11</v>
      </c>
    </row>
    <row r="1072" spans="1:7" ht="12.75">
      <c r="A1072" s="49" t="s">
        <v>1406</v>
      </c>
      <c r="B1072" s="13" t="str">
        <f>HYPERLINK("http://www.generation-msx.nl/msxdb/softwareinfo/596"," Lien")</f>
        <v> Lien</v>
      </c>
      <c r="C1072" s="13">
        <v>1985</v>
      </c>
      <c r="D1072" s="13" t="s">
        <v>1407</v>
      </c>
      <c r="E1072" s="14" t="s">
        <v>17</v>
      </c>
      <c r="F1072" s="14" t="s">
        <v>21</v>
      </c>
      <c r="G1072" s="13" t="s">
        <v>18</v>
      </c>
    </row>
    <row r="1073" spans="1:7" ht="12.75">
      <c r="A1073" s="132" t="s">
        <v>1408</v>
      </c>
      <c r="B1073" s="18" t="str">
        <f>HYPERLINK("http://www.generation-msx.nl/msxdb/softwareinfo/403"," Lien")</f>
        <v> Lien</v>
      </c>
      <c r="C1073" s="18">
        <v>1984</v>
      </c>
      <c r="D1073" s="18" t="s">
        <v>1409</v>
      </c>
      <c r="E1073" s="19" t="s">
        <v>207</v>
      </c>
      <c r="F1073" s="19" t="s">
        <v>21</v>
      </c>
      <c r="G1073" s="18" t="s">
        <v>11</v>
      </c>
    </row>
    <row r="1074" spans="1:7" ht="12.75">
      <c r="A1074" s="49" t="s">
        <v>1410</v>
      </c>
      <c r="B1074" s="13" t="str">
        <f>HYPERLINK("http://www.generation-msx.nl/msxdb/softwareinfo/595"," Lien")</f>
        <v> Lien</v>
      </c>
      <c r="C1074" s="13">
        <v>1985</v>
      </c>
      <c r="D1074" s="13" t="s">
        <v>1407</v>
      </c>
      <c r="E1074" s="14" t="s">
        <v>17</v>
      </c>
      <c r="F1074" s="14" t="s">
        <v>21</v>
      </c>
      <c r="G1074" s="13" t="s">
        <v>18</v>
      </c>
    </row>
    <row r="1075" spans="1:7" ht="12.75">
      <c r="A1075" s="17" t="s">
        <v>1411</v>
      </c>
      <c r="B1075" s="18" t="str">
        <f>HYPERLINK("http://www.generation-msx.nl/msxdb/softwareinfo/12"," Lien")</f>
        <v> Lien</v>
      </c>
      <c r="C1075" s="18">
        <v>1983</v>
      </c>
      <c r="D1075" s="18" t="s">
        <v>23</v>
      </c>
      <c r="E1075" s="19" t="s">
        <v>40</v>
      </c>
      <c r="F1075" s="19" t="s">
        <v>21</v>
      </c>
      <c r="G1075" s="18" t="s">
        <v>11</v>
      </c>
    </row>
    <row r="1076" spans="1:7" ht="12.75">
      <c r="A1076" s="132" t="s">
        <v>1412</v>
      </c>
      <c r="B1076" s="18" t="str">
        <f>HYPERLINK("http://www.generation-msx.nl/msxdb/softwareinfo/1780"," Lien")</f>
        <v> Lien</v>
      </c>
      <c r="C1076" s="18">
        <v>1988</v>
      </c>
      <c r="D1076" s="18" t="s">
        <v>1413</v>
      </c>
      <c r="E1076" s="19" t="s">
        <v>79</v>
      </c>
      <c r="F1076" s="19" t="s">
        <v>21</v>
      </c>
      <c r="G1076" s="18" t="s">
        <v>11</v>
      </c>
    </row>
    <row r="1077" spans="1:7" ht="12.75">
      <c r="A1077" s="132" t="s">
        <v>1414</v>
      </c>
      <c r="B1077" s="18" t="str">
        <f>HYPERLINK("http://www.generation-msx.nl/msxdb/softwareinfo/1995"," Lien")</f>
        <v> Lien</v>
      </c>
      <c r="C1077" s="18">
        <v>1988</v>
      </c>
      <c r="D1077" s="18" t="s">
        <v>1413</v>
      </c>
      <c r="E1077" s="19" t="s">
        <v>79</v>
      </c>
      <c r="F1077" s="19" t="s">
        <v>21</v>
      </c>
      <c r="G1077" s="18" t="s">
        <v>11</v>
      </c>
    </row>
    <row r="1078" spans="1:7" ht="12.75">
      <c r="A1078" s="132" t="s">
        <v>1415</v>
      </c>
      <c r="B1078" s="18" t="str">
        <f>HYPERLINK("http://www.generation-msx.nl/msxdb/softwareinfo/1996"," Lien")</f>
        <v> Lien</v>
      </c>
      <c r="C1078" s="18">
        <v>1988</v>
      </c>
      <c r="D1078" s="18" t="s">
        <v>1413</v>
      </c>
      <c r="E1078" s="19" t="s">
        <v>79</v>
      </c>
      <c r="F1078" s="19" t="s">
        <v>21</v>
      </c>
      <c r="G1078" s="18" t="s">
        <v>11</v>
      </c>
    </row>
    <row r="1079" spans="1:7" ht="12.75">
      <c r="A1079" s="17" t="s">
        <v>1416</v>
      </c>
      <c r="B1079" s="18" t="str">
        <f>HYPERLINK("http://www.generation-msx.nl/msxdb/softwareinfo/3262"," Lien")</f>
        <v> Lien</v>
      </c>
      <c r="C1079" s="18">
        <v>1985</v>
      </c>
      <c r="D1079" s="18" t="s">
        <v>115</v>
      </c>
      <c r="E1079" s="19" t="s">
        <v>67</v>
      </c>
      <c r="F1079" s="19" t="s">
        <v>10</v>
      </c>
      <c r="G1079" s="18" t="s">
        <v>11</v>
      </c>
    </row>
    <row r="1080" spans="1:7" ht="12.75">
      <c r="A1080" s="17" t="s">
        <v>1417</v>
      </c>
      <c r="B1080" s="128"/>
      <c r="C1080" s="18">
        <v>1989</v>
      </c>
      <c r="D1080" s="18" t="s">
        <v>1418</v>
      </c>
      <c r="E1080" s="19" t="s">
        <v>9</v>
      </c>
      <c r="F1080" s="19" t="s">
        <v>102</v>
      </c>
      <c r="G1080" s="18" t="s">
        <v>11</v>
      </c>
    </row>
    <row r="1081" spans="1:7" ht="12.75">
      <c r="A1081" s="17" t="s">
        <v>1419</v>
      </c>
      <c r="B1081" s="18" t="str">
        <f>HYPERLINK("http://www.generation-msx.nl/msxdb/softwareinfo/2257"," Lien")</f>
        <v> Lien</v>
      </c>
      <c r="C1081" s="18">
        <v>1990</v>
      </c>
      <c r="D1081" s="18" t="s">
        <v>69</v>
      </c>
      <c r="E1081" s="19" t="s">
        <v>17</v>
      </c>
      <c r="F1081" s="19" t="s">
        <v>10</v>
      </c>
      <c r="G1081" s="18" t="s">
        <v>11</v>
      </c>
    </row>
    <row r="1082" spans="1:7" ht="12.75">
      <c r="A1082" s="17" t="s">
        <v>1420</v>
      </c>
      <c r="B1082" s="128"/>
      <c r="C1082" s="18">
        <v>1988</v>
      </c>
      <c r="D1082" s="18" t="s">
        <v>1421</v>
      </c>
      <c r="E1082" s="19" t="s">
        <v>55</v>
      </c>
      <c r="F1082" s="19" t="s">
        <v>178</v>
      </c>
      <c r="G1082" s="18" t="s">
        <v>11</v>
      </c>
    </row>
    <row r="1083" spans="1:7" ht="12.75">
      <c r="A1083" s="17" t="s">
        <v>1422</v>
      </c>
      <c r="B1083" s="18" t="str">
        <f>HYPERLINK("http://www.generation-msx.nl/msxdb/softwareinfo/2309"," Lien")</f>
        <v> Lien</v>
      </c>
      <c r="C1083" s="18">
        <v>1988</v>
      </c>
      <c r="D1083" s="18" t="s">
        <v>113</v>
      </c>
      <c r="E1083" s="19" t="s">
        <v>9</v>
      </c>
      <c r="F1083" s="19" t="s">
        <v>10</v>
      </c>
      <c r="G1083" s="18" t="s">
        <v>11</v>
      </c>
    </row>
    <row r="1084" spans="1:7" ht="12.75">
      <c r="A1084" s="17" t="s">
        <v>1423</v>
      </c>
      <c r="B1084" s="18" t="str">
        <f>HYPERLINK("http://www.generation-msx.nl/msxdb/softwareinfo/3145"," Lien")</f>
        <v> Lien</v>
      </c>
      <c r="C1084" s="18">
        <v>1989</v>
      </c>
      <c r="D1084" s="18" t="s">
        <v>1424</v>
      </c>
      <c r="E1084" s="19" t="s">
        <v>55</v>
      </c>
      <c r="F1084" s="19" t="s">
        <v>10</v>
      </c>
      <c r="G1084" s="18" t="s">
        <v>11</v>
      </c>
    </row>
    <row r="1085" spans="1:7" ht="12.75">
      <c r="A1085" s="17" t="s">
        <v>1425</v>
      </c>
      <c r="B1085" s="18" t="str">
        <f>HYPERLINK("http://www.generation-msx.nl/msxdb/softwareinfo/3285"," Lien")</f>
        <v> Lien</v>
      </c>
      <c r="C1085" s="18">
        <v>1986</v>
      </c>
      <c r="D1085" s="18" t="s">
        <v>206</v>
      </c>
      <c r="E1085" s="19" t="s">
        <v>67</v>
      </c>
      <c r="F1085" s="19" t="s">
        <v>10</v>
      </c>
      <c r="G1085" s="18" t="s">
        <v>11</v>
      </c>
    </row>
    <row r="1086" spans="1:7" ht="12.75">
      <c r="A1086" s="17" t="s">
        <v>1426</v>
      </c>
      <c r="B1086" s="18" t="str">
        <f>HYPERLINK("http://www.generation-msx.nl/msxdb/softwareinfo/3284"," Lien")</f>
        <v> Lien</v>
      </c>
      <c r="C1086" s="18">
        <v>1986</v>
      </c>
      <c r="D1086" s="18" t="s">
        <v>1427</v>
      </c>
      <c r="E1086" s="19" t="s">
        <v>67</v>
      </c>
      <c r="F1086" s="19" t="s">
        <v>10</v>
      </c>
      <c r="G1086" s="18" t="s">
        <v>11</v>
      </c>
    </row>
    <row r="1087" spans="1:7" ht="12.75">
      <c r="A1087" s="17" t="s">
        <v>1428</v>
      </c>
      <c r="B1087" s="18" t="str">
        <f>HYPERLINK("http://www.generation-msx.nl/msxdb/softwareinfo/2258"," Lien")</f>
        <v> Lien</v>
      </c>
      <c r="C1087" s="18">
        <v>1989</v>
      </c>
      <c r="D1087" s="18" t="s">
        <v>69</v>
      </c>
      <c r="E1087" s="19" t="s">
        <v>9</v>
      </c>
      <c r="F1087" s="19" t="s">
        <v>10</v>
      </c>
      <c r="G1087" s="18" t="s">
        <v>11</v>
      </c>
    </row>
    <row r="1088" spans="1:7" ht="12.75">
      <c r="A1088" s="17" t="s">
        <v>1429</v>
      </c>
      <c r="B1088" s="18" t="str">
        <f>HYPERLINK("http://www.generation-msx.nl/msxdb/softwareinfo/2674"," Lien")</f>
        <v> Lien</v>
      </c>
      <c r="C1088" s="18">
        <v>1985</v>
      </c>
      <c r="D1088" s="18" t="s">
        <v>1399</v>
      </c>
      <c r="E1088" s="19" t="s">
        <v>51</v>
      </c>
      <c r="F1088" s="19" t="s">
        <v>10</v>
      </c>
      <c r="G1088" s="18" t="s">
        <v>11</v>
      </c>
    </row>
    <row r="1089" spans="1:7" ht="12.75">
      <c r="A1089" s="17" t="s">
        <v>1430</v>
      </c>
      <c r="B1089" s="18" t="str">
        <f>HYPERLINK("http://www.generation-msx.nl/msxdb/softwareinfo/3355"," Lien")</f>
        <v> Lien</v>
      </c>
      <c r="C1089" s="18">
        <v>1983</v>
      </c>
      <c r="D1089" s="18" t="s">
        <v>1431</v>
      </c>
      <c r="E1089" s="19" t="s">
        <v>55</v>
      </c>
      <c r="F1089" s="19" t="s">
        <v>10</v>
      </c>
      <c r="G1089" s="18" t="s">
        <v>11</v>
      </c>
    </row>
    <row r="1090" spans="1:7" ht="12.75">
      <c r="A1090" s="17" t="s">
        <v>1432</v>
      </c>
      <c r="B1090" s="18" t="str">
        <f>HYPERLINK("http://www.generation-msx.nl/msxdb/softwareinfo/339"," Lien")</f>
        <v> Lien</v>
      </c>
      <c r="C1090" s="18">
        <v>1984</v>
      </c>
      <c r="D1090" s="18" t="s">
        <v>1431</v>
      </c>
      <c r="E1090" s="19" t="s">
        <v>55</v>
      </c>
      <c r="F1090" s="19" t="s">
        <v>10</v>
      </c>
      <c r="G1090" s="18" t="s">
        <v>11</v>
      </c>
    </row>
    <row r="1091" spans="1:7" ht="12.75">
      <c r="A1091" s="17" t="s">
        <v>1433</v>
      </c>
      <c r="B1091" s="18" t="str">
        <f>HYPERLINK("http://www.generation-msx.nl/msxdb/softwareinfo/347"," Lien")</f>
        <v> Lien</v>
      </c>
      <c r="C1091" s="18">
        <v>1984</v>
      </c>
      <c r="D1091" s="56" t="s">
        <v>1074</v>
      </c>
      <c r="E1091" s="19" t="s">
        <v>55</v>
      </c>
      <c r="F1091" s="19" t="s">
        <v>10</v>
      </c>
      <c r="G1091" s="18" t="s">
        <v>11</v>
      </c>
    </row>
    <row r="1092" spans="1:7" ht="12.75">
      <c r="A1092" s="36" t="s">
        <v>1434</v>
      </c>
      <c r="B1092" s="13" t="str">
        <f>HYPERLINK("http://www.generation-msx.nl/msxdb/softwareinfo/3317"," Lien")</f>
        <v> Lien</v>
      </c>
      <c r="C1092" s="13">
        <v>1991</v>
      </c>
      <c r="D1092" s="13" t="s">
        <v>976</v>
      </c>
      <c r="E1092" s="14" t="s">
        <v>9</v>
      </c>
      <c r="F1092" s="14" t="s">
        <v>10</v>
      </c>
      <c r="G1092" s="13" t="s">
        <v>18</v>
      </c>
    </row>
    <row r="1093" spans="1:7" ht="12.75">
      <c r="A1093" s="17" t="s">
        <v>1435</v>
      </c>
      <c r="B1093" s="18" t="str">
        <f>HYPERLINK("http://www.generation-msx.nl/msxdb/softwareinfo/2259"," Lien")</f>
        <v> Lien</v>
      </c>
      <c r="C1093" s="18">
        <v>1990</v>
      </c>
      <c r="D1093" s="18" t="s">
        <v>69</v>
      </c>
      <c r="E1093" s="19" t="s">
        <v>9</v>
      </c>
      <c r="F1093" s="19" t="s">
        <v>10</v>
      </c>
      <c r="G1093" s="18" t="s">
        <v>11</v>
      </c>
    </row>
    <row r="1094" spans="1:7" ht="12.75">
      <c r="A1094" s="17" t="s">
        <v>1436</v>
      </c>
      <c r="B1094" s="18" t="str">
        <f>HYPERLINK("http://www.generation-msx.nl/msxdb/softwareinfo/3119"," Lien")</f>
        <v> Lien</v>
      </c>
      <c r="C1094" s="18">
        <v>1986</v>
      </c>
      <c r="D1094" s="18" t="s">
        <v>1437</v>
      </c>
      <c r="E1094" s="19" t="s">
        <v>55</v>
      </c>
      <c r="F1094" s="19" t="s">
        <v>10</v>
      </c>
      <c r="G1094" s="18" t="s">
        <v>11</v>
      </c>
    </row>
    <row r="1095" spans="1:7" ht="12.75">
      <c r="A1095" s="49" t="s">
        <v>1438</v>
      </c>
      <c r="B1095" s="13" t="str">
        <f>HYPERLINK("http://www.konamito.com/ficha/?id=924"," Lien")</f>
        <v> Lien</v>
      </c>
      <c r="C1095" s="13">
        <v>2005</v>
      </c>
      <c r="D1095" s="13" t="s">
        <v>1439</v>
      </c>
      <c r="E1095" s="14" t="s">
        <v>307</v>
      </c>
      <c r="F1095" s="14" t="s">
        <v>21</v>
      </c>
      <c r="G1095" s="13" t="s">
        <v>18</v>
      </c>
    </row>
    <row r="1096" spans="1:7" ht="12.75">
      <c r="A1096" s="17" t="s">
        <v>1440</v>
      </c>
      <c r="B1096" s="18" t="str">
        <f>HYPERLINK("http://www.generation-msx.nl/msxdb/softwareinfo/2138"," Lien")</f>
        <v> Lien</v>
      </c>
      <c r="C1096" s="18">
        <v>1990</v>
      </c>
      <c r="D1096" s="18" t="s">
        <v>73</v>
      </c>
      <c r="E1096" s="19" t="s">
        <v>9</v>
      </c>
      <c r="F1096" s="19" t="s">
        <v>10</v>
      </c>
      <c r="G1096" s="18" t="s">
        <v>11</v>
      </c>
    </row>
    <row r="1097" spans="1:7" ht="12.75">
      <c r="A1097" s="132" t="s">
        <v>1441</v>
      </c>
      <c r="B1097" s="18" t="str">
        <f>HYPERLINK("http://www.generation-msx.nl/msxdb/softwareinfo/240"," Lien")</f>
        <v> Lien</v>
      </c>
      <c r="C1097" s="18">
        <v>1984</v>
      </c>
      <c r="D1097" s="18" t="s">
        <v>1230</v>
      </c>
      <c r="E1097" s="19" t="s">
        <v>24</v>
      </c>
      <c r="F1097" s="19" t="s">
        <v>21</v>
      </c>
      <c r="G1097" s="18" t="s">
        <v>11</v>
      </c>
    </row>
    <row r="1098" spans="1:7" ht="12.75">
      <c r="A1098" s="17" t="s">
        <v>1442</v>
      </c>
      <c r="B1098" s="18" t="str">
        <f>HYPERLINK("http://www.generation-msx.nl/msxdb/softwareinfo/2139"," Lien")</f>
        <v> Lien</v>
      </c>
      <c r="C1098" s="18">
        <v>1988</v>
      </c>
      <c r="D1098" s="18" t="s">
        <v>73</v>
      </c>
      <c r="E1098" s="19" t="s">
        <v>9</v>
      </c>
      <c r="F1098" s="19" t="s">
        <v>178</v>
      </c>
      <c r="G1098" s="18" t="s">
        <v>11</v>
      </c>
    </row>
    <row r="1099" spans="1:7" ht="12.75">
      <c r="A1099" s="36" t="s">
        <v>1443</v>
      </c>
      <c r="B1099" s="13" t="str">
        <f>HYPERLINK("http://www.konamito.com/ficha/?id=2107"," Lien")</f>
        <v> Lien</v>
      </c>
      <c r="C1099" s="13">
        <v>1989</v>
      </c>
      <c r="D1099" s="13" t="s">
        <v>1444</v>
      </c>
      <c r="E1099" s="14" t="s">
        <v>24</v>
      </c>
      <c r="F1099" s="14" t="s">
        <v>48</v>
      </c>
      <c r="G1099" s="13" t="s">
        <v>18</v>
      </c>
    </row>
    <row r="1100" spans="1:7" ht="12.75">
      <c r="A1100" s="36" t="s">
        <v>1445</v>
      </c>
      <c r="B1100" s="13" t="str">
        <f>HYPERLINK("http://www.generation-msx.nl/msxdb/softwareinfo/256"," Lien")</f>
        <v> Lien</v>
      </c>
      <c r="C1100" s="13">
        <v>1984</v>
      </c>
      <c r="D1100" s="13" t="s">
        <v>239</v>
      </c>
      <c r="E1100" s="14" t="s">
        <v>17</v>
      </c>
      <c r="F1100" s="14" t="s">
        <v>21</v>
      </c>
      <c r="G1100" s="13" t="s">
        <v>18</v>
      </c>
    </row>
    <row r="1101" spans="1:7" ht="12.75">
      <c r="A1101" s="49" t="s">
        <v>1446</v>
      </c>
      <c r="B1101" s="13" t="str">
        <f>HYPERLINK("http://www.generation-msx.nl/msxdb/softwareinfo/3238"," Lien")</f>
        <v> Lien</v>
      </c>
      <c r="C1101" s="13">
        <v>1988</v>
      </c>
      <c r="D1101" s="13" t="s">
        <v>297</v>
      </c>
      <c r="E1101" s="14" t="s">
        <v>275</v>
      </c>
      <c r="F1101" s="14" t="s">
        <v>21</v>
      </c>
      <c r="G1101" s="13" t="s">
        <v>18</v>
      </c>
    </row>
    <row r="1102" spans="1:7" ht="12.75">
      <c r="A1102" s="142" t="s">
        <v>1447</v>
      </c>
      <c r="B1102" s="18" t="str">
        <f>HYPERLINK("http://www.konamito.com/ficha/?id=1780"," Lien")</f>
        <v> Lien</v>
      </c>
      <c r="C1102" s="18">
        <v>1992</v>
      </c>
      <c r="D1102" s="18" t="s">
        <v>1448</v>
      </c>
      <c r="E1102" s="19" t="s">
        <v>275</v>
      </c>
      <c r="F1102" s="19" t="s">
        <v>48</v>
      </c>
      <c r="G1102" s="18" t="s">
        <v>11</v>
      </c>
    </row>
    <row r="1103" spans="1:7" ht="12.75">
      <c r="A1103" s="142" t="s">
        <v>1449</v>
      </c>
      <c r="B1103" s="18" t="str">
        <f>HYPERLINK("http://www.generation-msx.nl/msxdb/softwareinfo/251"," Lien")</f>
        <v> Lien</v>
      </c>
      <c r="C1103" s="18">
        <v>1983</v>
      </c>
      <c r="D1103" s="18" t="s">
        <v>317</v>
      </c>
      <c r="E1103" s="19" t="s">
        <v>51</v>
      </c>
      <c r="F1103" s="19" t="s">
        <v>21</v>
      </c>
      <c r="G1103" s="18" t="s">
        <v>361</v>
      </c>
    </row>
    <row r="1104" spans="1:7" ht="12.75">
      <c r="A1104" s="142" t="s">
        <v>1450</v>
      </c>
      <c r="B1104" s="18" t="str">
        <f>HYPERLINK("http://msxdev.msxblue.com/?page_id=275"," Lien")</f>
        <v> Lien</v>
      </c>
      <c r="C1104" s="18">
        <v>2006</v>
      </c>
      <c r="D1104" s="143" t="s">
        <v>1451</v>
      </c>
      <c r="E1104" s="19" t="s">
        <v>9</v>
      </c>
      <c r="F1104" s="19" t="s">
        <v>21</v>
      </c>
      <c r="G1104" s="18" t="s">
        <v>11</v>
      </c>
    </row>
    <row r="1105" spans="1:7" ht="12.75">
      <c r="A1105" s="142" t="s">
        <v>1452</v>
      </c>
      <c r="B1105" s="18" t="str">
        <f>HYPERLINK("http://msxdev.msxblue.com/?page_id=305"," Lien")</f>
        <v> Lien</v>
      </c>
      <c r="C1105" s="18">
        <v>2007</v>
      </c>
      <c r="D1105" s="18" t="s">
        <v>503</v>
      </c>
      <c r="E1105" s="19" t="s">
        <v>17</v>
      </c>
      <c r="F1105" s="19" t="s">
        <v>21</v>
      </c>
      <c r="G1105" s="18" t="s">
        <v>11</v>
      </c>
    </row>
    <row r="1106" spans="1:7" ht="12.75">
      <c r="A1106" s="36" t="s">
        <v>1453</v>
      </c>
      <c r="B1106" s="13" t="str">
        <f>HYPERLINK("http://www.generation-msx.nl/msxdb/softwareinfo/239"," Lien")</f>
        <v> Lien</v>
      </c>
      <c r="C1106" s="13">
        <v>1982</v>
      </c>
      <c r="D1106" s="13" t="s">
        <v>317</v>
      </c>
      <c r="E1106" s="14" t="s">
        <v>275</v>
      </c>
      <c r="F1106" s="14" t="s">
        <v>10</v>
      </c>
      <c r="G1106" s="13" t="s">
        <v>18</v>
      </c>
    </row>
    <row r="1107" spans="1:7" ht="12.75">
      <c r="A1107" s="49" t="s">
        <v>1454</v>
      </c>
      <c r="B1107" s="13" t="str">
        <f>HYPERLINK("http://www.generation-msx.nl/msxdb/softwareinfo/809"," Lien")</f>
        <v> Lien</v>
      </c>
      <c r="C1107" s="13">
        <v>1985</v>
      </c>
      <c r="D1107" s="13" t="s">
        <v>119</v>
      </c>
      <c r="E1107" s="14" t="s">
        <v>9</v>
      </c>
      <c r="F1107" s="14" t="s">
        <v>27</v>
      </c>
      <c r="G1107" s="13" t="s">
        <v>18</v>
      </c>
    </row>
    <row r="1108" spans="1:7" ht="12.75">
      <c r="A1108" s="49" t="s">
        <v>1455</v>
      </c>
      <c r="B1108" s="13" t="str">
        <f>HYPERLINK("http://www.generation-msx.nl/msxdb/softwareinfo/571"," Lien")</f>
        <v> Lien</v>
      </c>
      <c r="C1108" s="13">
        <v>1983</v>
      </c>
      <c r="D1108" s="13" t="s">
        <v>941</v>
      </c>
      <c r="E1108" s="14" t="s">
        <v>9</v>
      </c>
      <c r="F1108" s="14" t="s">
        <v>21</v>
      </c>
      <c r="G1108" s="13" t="s">
        <v>18</v>
      </c>
    </row>
    <row r="1109" spans="1:7" ht="12.75">
      <c r="A1109" s="36" t="s">
        <v>1456</v>
      </c>
      <c r="B1109" s="13" t="str">
        <f>HYPERLINK("http://www.generation-msx.nl/msxdb/softwareinfo/818"," Lien")</f>
        <v> Lien</v>
      </c>
      <c r="C1109" s="13">
        <v>1986</v>
      </c>
      <c r="D1109" s="13" t="s">
        <v>1457</v>
      </c>
      <c r="E1109" s="14" t="s">
        <v>51</v>
      </c>
      <c r="F1109" s="14" t="s">
        <v>132</v>
      </c>
      <c r="G1109" s="13" t="s">
        <v>18</v>
      </c>
    </row>
    <row r="1110" spans="1:7" ht="12.75">
      <c r="A1110" s="132" t="s">
        <v>1458</v>
      </c>
      <c r="B1110" s="18" t="str">
        <f>HYPERLINK("http://www.generation-msx.nl/msxdb/softwareinfo/54"," Lien")</f>
        <v> Lien</v>
      </c>
      <c r="C1110" s="18">
        <v>1983</v>
      </c>
      <c r="D1110" s="18" t="s">
        <v>932</v>
      </c>
      <c r="E1110" s="19" t="s">
        <v>9</v>
      </c>
      <c r="F1110" s="19" t="s">
        <v>21</v>
      </c>
      <c r="G1110" s="18" t="s">
        <v>11</v>
      </c>
    </row>
    <row r="1111" spans="1:7" ht="12.75">
      <c r="A1111" s="36" t="s">
        <v>1459</v>
      </c>
      <c r="B1111" s="13" t="str">
        <f>HYPERLINK("http://www.generation-msx.nl/msxdb/softwareinfo/872"," Lien")</f>
        <v> Lien</v>
      </c>
      <c r="C1111" s="13">
        <v>1984</v>
      </c>
      <c r="D1111" s="13" t="s">
        <v>496</v>
      </c>
      <c r="E1111" s="14" t="s">
        <v>51</v>
      </c>
      <c r="F1111" s="14" t="s">
        <v>27</v>
      </c>
      <c r="G1111" s="13" t="s">
        <v>18</v>
      </c>
    </row>
    <row r="1112" spans="1:7" ht="12.75">
      <c r="A1112" s="36" t="s">
        <v>1460</v>
      </c>
      <c r="B1112" s="13" t="str">
        <f>HYPERLINK("http://www.generation-msx.nl/msxdb/softwareinfo/820"," Lien")</f>
        <v> Lien</v>
      </c>
      <c r="C1112" s="13">
        <v>1986</v>
      </c>
      <c r="D1112" s="13" t="s">
        <v>128</v>
      </c>
      <c r="E1112" s="14" t="s">
        <v>24</v>
      </c>
      <c r="F1112" s="14" t="s">
        <v>21</v>
      </c>
      <c r="G1112" s="13" t="s">
        <v>18</v>
      </c>
    </row>
    <row r="1113" spans="1:7" ht="12.75">
      <c r="A1113" s="36" t="s">
        <v>1461</v>
      </c>
      <c r="B1113" s="13" t="str">
        <f>HYPERLINK("http://www.generation-msx.nl/msxdb/softwareinfo/255"," Lien")</f>
        <v> Lien</v>
      </c>
      <c r="C1113" s="13">
        <v>1984</v>
      </c>
      <c r="D1113" s="13" t="s">
        <v>1462</v>
      </c>
      <c r="E1113" s="14" t="s">
        <v>9</v>
      </c>
      <c r="F1113" s="14" t="s">
        <v>27</v>
      </c>
      <c r="G1113" s="13" t="s">
        <v>18</v>
      </c>
    </row>
    <row r="1114" spans="1:7" ht="12.75">
      <c r="A1114" s="132" t="s">
        <v>1463</v>
      </c>
      <c r="B1114" s="18" t="str">
        <f>HYPERLINK("http://www.generation-msx.nl/msxdb/softwareinfo/986"," Lien")</f>
        <v> Lien</v>
      </c>
      <c r="C1114" s="18">
        <v>1987</v>
      </c>
      <c r="D1114" s="18" t="s">
        <v>892</v>
      </c>
      <c r="E1114" s="19" t="s">
        <v>323</v>
      </c>
      <c r="F1114" s="19" t="s">
        <v>52</v>
      </c>
      <c r="G1114" s="18" t="s">
        <v>11</v>
      </c>
    </row>
    <row r="1115" spans="1:7" ht="12.75">
      <c r="A1115" s="17" t="s">
        <v>1464</v>
      </c>
      <c r="B1115" s="18" t="str">
        <f>HYPERLINK("http://www.generation-msx.nl/msxdb/softwareinfo/2140"," Lien")</f>
        <v> Lien</v>
      </c>
      <c r="C1115" s="18">
        <v>1986</v>
      </c>
      <c r="D1115" s="18" t="s">
        <v>73</v>
      </c>
      <c r="E1115" s="19" t="s">
        <v>9</v>
      </c>
      <c r="F1115" s="19" t="s">
        <v>10</v>
      </c>
      <c r="G1115" s="18" t="s">
        <v>11</v>
      </c>
    </row>
    <row r="1116" spans="1:7" ht="12.75">
      <c r="A1116" s="49" t="s">
        <v>1465</v>
      </c>
      <c r="B1116" s="13" t="str">
        <f>HYPERLINK("http://www.generation-msx.nl/msxdb/softwareinfo/2949"," Lien")</f>
        <v> Lien</v>
      </c>
      <c r="C1116" s="13">
        <v>1984</v>
      </c>
      <c r="D1116" s="13" t="s">
        <v>208</v>
      </c>
      <c r="E1116" s="14" t="s">
        <v>9</v>
      </c>
      <c r="F1116" s="14" t="s">
        <v>10</v>
      </c>
      <c r="G1116" s="13" t="s">
        <v>11</v>
      </c>
    </row>
    <row r="1117" spans="1:7" ht="12.75">
      <c r="A1117" s="36" t="s">
        <v>1466</v>
      </c>
      <c r="B1117" s="13" t="str">
        <f>HYPERLINK("http://www.generation-msx.nl/msxdb/softwareinfo/3318"," Lien")</f>
        <v> Lien</v>
      </c>
      <c r="C1117" s="13">
        <v>1991</v>
      </c>
      <c r="D1117" s="13" t="s">
        <v>949</v>
      </c>
      <c r="E1117" s="14" t="s">
        <v>323</v>
      </c>
      <c r="F1117" s="14" t="s">
        <v>10</v>
      </c>
      <c r="G1117" s="13" t="s">
        <v>18</v>
      </c>
    </row>
    <row r="1118" spans="1:7" ht="12.75">
      <c r="A1118" s="17" t="s">
        <v>1467</v>
      </c>
      <c r="B1118" s="18" t="str">
        <f>HYPERLINK("http://www.generation-msx.nl/msxdb/softwareinfo/3344"," Lien")</f>
        <v> Lien</v>
      </c>
      <c r="C1118" s="18">
        <v>1985</v>
      </c>
      <c r="D1118" s="18" t="s">
        <v>579</v>
      </c>
      <c r="E1118" s="19" t="s">
        <v>55</v>
      </c>
      <c r="F1118" s="19" t="s">
        <v>10</v>
      </c>
      <c r="G1118" s="18" t="s">
        <v>11</v>
      </c>
    </row>
    <row r="1119" spans="1:7" ht="12.75">
      <c r="A1119" s="36" t="s">
        <v>1468</v>
      </c>
      <c r="B1119" s="13" t="str">
        <f>HYPERLINK("http://www.generation-msx.nl/msxdb/softwareinfo/2399"," Lien")</f>
        <v> Lien</v>
      </c>
      <c r="C1119" s="13">
        <v>1985</v>
      </c>
      <c r="D1119" s="13" t="s">
        <v>66</v>
      </c>
      <c r="E1119" s="14" t="s">
        <v>43</v>
      </c>
      <c r="F1119" s="14" t="s">
        <v>178</v>
      </c>
      <c r="G1119" s="13" t="s">
        <v>18</v>
      </c>
    </row>
    <row r="1120" spans="1:7" ht="12.75">
      <c r="A1120" s="17" t="s">
        <v>1469</v>
      </c>
      <c r="B1120" s="18" t="str">
        <f>HYPERLINK("http://www.generation-msx.nl/msxdb/softwareinfo/2849"," Lien")</f>
        <v> Lien</v>
      </c>
      <c r="C1120" s="18">
        <v>1984</v>
      </c>
      <c r="D1120" s="18" t="s">
        <v>286</v>
      </c>
      <c r="E1120" s="19" t="s">
        <v>307</v>
      </c>
      <c r="F1120" s="19" t="s">
        <v>10</v>
      </c>
      <c r="G1120" s="18" t="s">
        <v>11</v>
      </c>
    </row>
    <row r="1121" spans="1:7" ht="12.75">
      <c r="A1121" s="17" t="s">
        <v>1470</v>
      </c>
      <c r="B1121" s="18" t="str">
        <f>HYPERLINK("http://www.generation-msx.nl/msxdb/softwareinfo/2347"," Lien")</f>
        <v> Lien</v>
      </c>
      <c r="C1121" s="18">
        <v>1986</v>
      </c>
      <c r="D1121" s="18" t="s">
        <v>96</v>
      </c>
      <c r="E1121" s="19" t="s">
        <v>51</v>
      </c>
      <c r="F1121" s="19" t="s">
        <v>10</v>
      </c>
      <c r="G1121" s="18" t="s">
        <v>11</v>
      </c>
    </row>
    <row r="1122" spans="1:7" ht="12.75">
      <c r="A1122" s="36" t="s">
        <v>1471</v>
      </c>
      <c r="B1122" s="13" t="str">
        <f>HYPERLINK("http://www.generation-msx.nl/msxdb/softwareinfo/3486"," Lien")</f>
        <v> Lien</v>
      </c>
      <c r="C1122" s="13" t="s">
        <v>102</v>
      </c>
      <c r="D1122" s="13" t="s">
        <v>1472</v>
      </c>
      <c r="E1122" s="14" t="s">
        <v>67</v>
      </c>
      <c r="F1122" s="14" t="s">
        <v>10</v>
      </c>
      <c r="G1122" s="13" t="s">
        <v>18</v>
      </c>
    </row>
    <row r="1123" spans="1:7" ht="12.75">
      <c r="A1123" s="17" t="s">
        <v>1473</v>
      </c>
      <c r="B1123" s="18"/>
      <c r="C1123" s="18">
        <v>1987</v>
      </c>
      <c r="D1123" s="18" t="s">
        <v>390</v>
      </c>
      <c r="E1123" s="19" t="s">
        <v>307</v>
      </c>
      <c r="F1123" s="19" t="s">
        <v>102</v>
      </c>
      <c r="G1123" s="18" t="s">
        <v>11</v>
      </c>
    </row>
    <row r="1124" spans="1:7" ht="12.75">
      <c r="A1124" s="36" t="s">
        <v>1474</v>
      </c>
      <c r="B1124" s="13" t="str">
        <f>HYPERLINK("http://www.generation-msx.nl/msxdb/softwareinfo/241"," Lien")</f>
        <v> Lien</v>
      </c>
      <c r="C1124" s="13">
        <v>1983</v>
      </c>
      <c r="D1124" s="13" t="s">
        <v>26</v>
      </c>
      <c r="E1124" s="14" t="s">
        <v>307</v>
      </c>
      <c r="F1124" s="14" t="s">
        <v>10</v>
      </c>
      <c r="G1124" s="13" t="s">
        <v>18</v>
      </c>
    </row>
    <row r="1125" spans="1:7" ht="12.75">
      <c r="A1125" s="49" t="s">
        <v>1475</v>
      </c>
      <c r="B1125" s="13" t="str">
        <f>HYPERLINK("http://www.generation-msx.nl/msxdb/softwareinfo/857"," Lien")</f>
        <v> Lien</v>
      </c>
      <c r="C1125" s="13">
        <v>1986</v>
      </c>
      <c r="D1125" s="13" t="s">
        <v>1359</v>
      </c>
      <c r="E1125" s="14" t="s">
        <v>17</v>
      </c>
      <c r="F1125" s="14" t="s">
        <v>21</v>
      </c>
      <c r="G1125" s="13" t="s">
        <v>18</v>
      </c>
    </row>
    <row r="1126" spans="1:7" ht="12.75">
      <c r="A1126" s="132" t="s">
        <v>1476</v>
      </c>
      <c r="B1126" s="18" t="str">
        <f>HYPERLINK("http://www.generation-msx.nl/msxdb/softwareinfo/53"," Lien")</f>
        <v> Lien</v>
      </c>
      <c r="C1126" s="18">
        <v>1983</v>
      </c>
      <c r="D1126" s="18" t="s">
        <v>89</v>
      </c>
      <c r="E1126" s="19" t="s">
        <v>9</v>
      </c>
      <c r="F1126" s="19" t="s">
        <v>21</v>
      </c>
      <c r="G1126" s="18" t="s">
        <v>11</v>
      </c>
    </row>
    <row r="1127" spans="1:7" ht="12.75">
      <c r="A1127" s="17" t="s">
        <v>1477</v>
      </c>
      <c r="B1127" s="18" t="str">
        <f>HYPERLINK("http://www.generation-msx.nl/msxdb/softwareinfo/3348"," Lien")</f>
        <v> Lien</v>
      </c>
      <c r="C1127" s="18">
        <v>1989</v>
      </c>
      <c r="D1127" s="18" t="s">
        <v>501</v>
      </c>
      <c r="E1127" s="19" t="s">
        <v>9</v>
      </c>
      <c r="F1127" s="19" t="s">
        <v>10</v>
      </c>
      <c r="G1127" s="18" t="s">
        <v>11</v>
      </c>
    </row>
    <row r="1128" spans="1:7" ht="12.75">
      <c r="A1128" s="36" t="s">
        <v>1478</v>
      </c>
      <c r="B1128" s="13" t="str">
        <f>HYPERLINK("http://www.generation-msx.nl/msxdb/softwareinfo/2854"," Lien")</f>
        <v> Lien</v>
      </c>
      <c r="C1128" s="13">
        <v>1987</v>
      </c>
      <c r="D1128" s="13" t="s">
        <v>135</v>
      </c>
      <c r="E1128" s="14" t="s">
        <v>43</v>
      </c>
      <c r="F1128" s="14" t="s">
        <v>10</v>
      </c>
      <c r="G1128" s="13" t="s">
        <v>18</v>
      </c>
    </row>
    <row r="1129" spans="1:7" ht="12.75">
      <c r="A1129" s="36" t="s">
        <v>1479</v>
      </c>
      <c r="B1129" s="13" t="str">
        <f>HYPERLINK("http://www.generation-msx.nl/msxdb/softwareinfo/2786"," Lien")</f>
        <v> Lien</v>
      </c>
      <c r="C1129" s="13">
        <v>1986</v>
      </c>
      <c r="D1129" s="13" t="s">
        <v>135</v>
      </c>
      <c r="E1129" s="14" t="s">
        <v>55</v>
      </c>
      <c r="F1129" s="14" t="s">
        <v>10</v>
      </c>
      <c r="G1129" s="13" t="s">
        <v>18</v>
      </c>
    </row>
    <row r="1130" spans="1:7" ht="12.75">
      <c r="A1130" s="51" t="s">
        <v>1480</v>
      </c>
      <c r="B1130" s="126"/>
      <c r="C1130" s="126" t="s">
        <v>102</v>
      </c>
      <c r="D1130" s="126" t="s">
        <v>102</v>
      </c>
      <c r="E1130" s="54" t="s">
        <v>102</v>
      </c>
      <c r="F1130" s="54" t="s">
        <v>102</v>
      </c>
      <c r="G1130" s="126" t="s">
        <v>361</v>
      </c>
    </row>
    <row r="1131" spans="1:7" ht="12.75">
      <c r="A1131" s="17" t="s">
        <v>1481</v>
      </c>
      <c r="B1131" s="18" t="str">
        <f>HYPERLINK("http://www.generation-msx.nl/msxdb/softwareinfo/3118"," Lien")</f>
        <v> Lien</v>
      </c>
      <c r="C1131" s="18">
        <v>1984</v>
      </c>
      <c r="D1131" s="18" t="s">
        <v>979</v>
      </c>
      <c r="E1131" s="19" t="s">
        <v>9</v>
      </c>
      <c r="F1131" s="19" t="s">
        <v>10</v>
      </c>
      <c r="G1131" s="18" t="s">
        <v>11</v>
      </c>
    </row>
    <row r="1132" spans="1:7" ht="12.75">
      <c r="A1132" s="17" t="s">
        <v>1482</v>
      </c>
      <c r="B1132" s="18" t="str">
        <f>HYPERLINK("http://www.generation-msx.nl/msxdb/softwareinfo/2829"," Lien")</f>
        <v> Lien</v>
      </c>
      <c r="C1132" s="18">
        <v>1986</v>
      </c>
      <c r="D1132" s="18" t="s">
        <v>466</v>
      </c>
      <c r="E1132" s="19" t="s">
        <v>58</v>
      </c>
      <c r="F1132" s="19" t="s">
        <v>27</v>
      </c>
      <c r="G1132" s="18" t="s">
        <v>11</v>
      </c>
    </row>
    <row r="1133" spans="1:7" ht="12.75">
      <c r="A1133" s="17" t="s">
        <v>1483</v>
      </c>
      <c r="B1133" s="18" t="str">
        <f>HYPERLINK("http://www.generation-msx.nl/msxdb/softwareinfo/2400"," Lien")</f>
        <v> Lien</v>
      </c>
      <c r="C1133" s="18">
        <v>1986</v>
      </c>
      <c r="D1133" s="18" t="s">
        <v>66</v>
      </c>
      <c r="E1133" s="19" t="s">
        <v>58</v>
      </c>
      <c r="F1133" s="19" t="s">
        <v>10</v>
      </c>
      <c r="G1133" s="18" t="s">
        <v>11</v>
      </c>
    </row>
    <row r="1134" spans="1:7" ht="12.75">
      <c r="A1134" s="49" t="s">
        <v>1484</v>
      </c>
      <c r="B1134" s="13" t="str">
        <f>HYPERLINK("http://www.generation-msx.nl/msxdb/softwareinfo/405"," Lien")</f>
        <v> Lien</v>
      </c>
      <c r="C1134" s="13">
        <v>1985</v>
      </c>
      <c r="D1134" s="13" t="s">
        <v>372</v>
      </c>
      <c r="E1134" s="14" t="s">
        <v>9</v>
      </c>
      <c r="F1134" s="14" t="s">
        <v>27</v>
      </c>
      <c r="G1134" s="13" t="s">
        <v>18</v>
      </c>
    </row>
    <row r="1135" spans="1:7" ht="12.75">
      <c r="A1135" s="17" t="s">
        <v>1485</v>
      </c>
      <c r="B1135" s="18" t="str">
        <f>HYPERLINK("http://www.generation-msx.nl/msxdb/softwareinfo/3214"," Lien")</f>
        <v> Lien</v>
      </c>
      <c r="C1135" s="18">
        <v>1986</v>
      </c>
      <c r="D1135" s="18" t="s">
        <v>340</v>
      </c>
      <c r="E1135" s="19" t="s">
        <v>9</v>
      </c>
      <c r="F1135" s="19" t="s">
        <v>10</v>
      </c>
      <c r="G1135" s="18" t="s">
        <v>11</v>
      </c>
    </row>
    <row r="1136" spans="1:7" ht="12.75">
      <c r="A1136" s="132" t="s">
        <v>1486</v>
      </c>
      <c r="B1136" s="18" t="str">
        <f>HYPERLINK("http://www.generation-msx.nl/msxdb/softwareinfo/288"," Lien")</f>
        <v> Lien</v>
      </c>
      <c r="C1136" s="18">
        <v>1984</v>
      </c>
      <c r="D1136" s="18" t="s">
        <v>23</v>
      </c>
      <c r="E1136" s="19" t="s">
        <v>9</v>
      </c>
      <c r="F1136" s="19" t="s">
        <v>21</v>
      </c>
      <c r="G1136" s="18" t="s">
        <v>18</v>
      </c>
    </row>
    <row r="1137" spans="1:7" ht="12.75">
      <c r="A1137" s="17" t="s">
        <v>1487</v>
      </c>
      <c r="B1137" s="18"/>
      <c r="C1137" s="18">
        <v>1990</v>
      </c>
      <c r="D1137" s="18" t="s">
        <v>1488</v>
      </c>
      <c r="E1137" s="19" t="s">
        <v>9</v>
      </c>
      <c r="F1137" s="19" t="s">
        <v>102</v>
      </c>
      <c r="G1137" s="18" t="s">
        <v>11</v>
      </c>
    </row>
    <row r="1138" spans="1:7" ht="12.75">
      <c r="A1138" s="36" t="s">
        <v>1489</v>
      </c>
      <c r="B1138" s="13" t="str">
        <f>HYPERLINK("http://www.generation-msx.nl/msxdb/softwareinfo/2750"," Lien")</f>
        <v> Lien</v>
      </c>
      <c r="C1138" s="13">
        <v>1988</v>
      </c>
      <c r="D1138" s="13" t="s">
        <v>243</v>
      </c>
      <c r="E1138" s="14" t="s">
        <v>9</v>
      </c>
      <c r="F1138" s="14" t="s">
        <v>10</v>
      </c>
      <c r="G1138" s="13" t="s">
        <v>18</v>
      </c>
    </row>
    <row r="1139" spans="1:7" ht="12.75">
      <c r="A1139" s="17" t="s">
        <v>1489</v>
      </c>
      <c r="B1139" s="18" t="str">
        <f>HYPERLINK("http://www.generation-msx.nl/msxdb/softwareinfo/3450"," Lien")</f>
        <v> Lien</v>
      </c>
      <c r="C1139" s="18">
        <v>2006</v>
      </c>
      <c r="D1139" s="18" t="s">
        <v>1490</v>
      </c>
      <c r="E1139" s="19" t="s">
        <v>9</v>
      </c>
      <c r="F1139" s="19" t="s">
        <v>21</v>
      </c>
      <c r="G1139" s="18" t="s">
        <v>11</v>
      </c>
    </row>
    <row r="1140" spans="1:7" ht="12.75">
      <c r="A1140" s="17" t="s">
        <v>1491</v>
      </c>
      <c r="B1140" s="18" t="str">
        <f>HYPERLINK("http://www.generation-msx.nl/msxdb/softwareinfo/2180"," Lien")</f>
        <v> Lien</v>
      </c>
      <c r="C1140" s="128">
        <v>1988</v>
      </c>
      <c r="D1140" s="128" t="s">
        <v>302</v>
      </c>
      <c r="E1140" s="129" t="s">
        <v>43</v>
      </c>
      <c r="F1140" s="129" t="s">
        <v>10</v>
      </c>
      <c r="G1140" s="128" t="s">
        <v>11</v>
      </c>
    </row>
    <row r="1141" spans="1:7" ht="12.75">
      <c r="A1141" s="17" t="s">
        <v>1492</v>
      </c>
      <c r="B1141" s="18" t="str">
        <f>HYPERLINK("http://www.generation-msx.nl/msxdb/softwareinfo/3359"," Lien")</f>
        <v> Lien</v>
      </c>
      <c r="C1141" s="128" t="s">
        <v>102</v>
      </c>
      <c r="D1141" s="128" t="s">
        <v>85</v>
      </c>
      <c r="E1141" s="129" t="s">
        <v>67</v>
      </c>
      <c r="F1141" s="129" t="s">
        <v>10</v>
      </c>
      <c r="G1141" s="128" t="s">
        <v>11</v>
      </c>
    </row>
    <row r="1142" spans="1:7" ht="12.75">
      <c r="A1142" s="17" t="s">
        <v>1493</v>
      </c>
      <c r="B1142" s="18" t="str">
        <f>HYPERLINK("http://www.generation-msx.nl/msxdb/softwareinfo/3360"," Lien")</f>
        <v> Lien</v>
      </c>
      <c r="C1142" s="128" t="s">
        <v>102</v>
      </c>
      <c r="D1142" s="128" t="s">
        <v>85</v>
      </c>
      <c r="E1142" s="129" t="s">
        <v>67</v>
      </c>
      <c r="F1142" s="129" t="s">
        <v>10</v>
      </c>
      <c r="G1142" s="128" t="s">
        <v>11</v>
      </c>
    </row>
    <row r="1143" spans="1:7" ht="12.75">
      <c r="A1143" s="17" t="s">
        <v>1494</v>
      </c>
      <c r="B1143" s="18" t="str">
        <f>HYPERLINK("http://www.generation-msx.nl/msxdb/softwareinfo/3358"," Lien")</f>
        <v> Lien</v>
      </c>
      <c r="C1143" s="128" t="s">
        <v>102</v>
      </c>
      <c r="D1143" s="128" t="s">
        <v>85</v>
      </c>
      <c r="E1143" s="129" t="s">
        <v>67</v>
      </c>
      <c r="F1143" s="129" t="s">
        <v>10</v>
      </c>
      <c r="G1143" s="128" t="s">
        <v>11</v>
      </c>
    </row>
    <row r="1144" spans="1:7" ht="12.75">
      <c r="A1144" s="49" t="s">
        <v>1495</v>
      </c>
      <c r="B1144" s="13" t="str">
        <f>HYPERLINK("http://www.generation-msx.nl/msxdb/softwareinfo/725"," Lien")</f>
        <v> Lien</v>
      </c>
      <c r="C1144" s="86">
        <v>1985</v>
      </c>
      <c r="D1144" s="86" t="s">
        <v>128</v>
      </c>
      <c r="E1144" s="87" t="s">
        <v>207</v>
      </c>
      <c r="F1144" s="87" t="s">
        <v>21</v>
      </c>
      <c r="G1144" s="86" t="s">
        <v>18</v>
      </c>
    </row>
    <row r="1145" spans="1:7" ht="12.75">
      <c r="A1145" s="36" t="s">
        <v>1496</v>
      </c>
      <c r="B1145" s="13" t="str">
        <f>HYPERLINK("http://www.konamito.com/ficha/?id=1008"," Lien")</f>
        <v> Lien</v>
      </c>
      <c r="C1145" s="13" t="s">
        <v>102</v>
      </c>
      <c r="D1145" s="13" t="s">
        <v>102</v>
      </c>
      <c r="E1145" s="14" t="s">
        <v>207</v>
      </c>
      <c r="F1145" s="14" t="s">
        <v>102</v>
      </c>
      <c r="G1145" s="13" t="s">
        <v>18</v>
      </c>
    </row>
    <row r="1146" spans="1:7" ht="12.75">
      <c r="A1146" s="17" t="s">
        <v>1497</v>
      </c>
      <c r="B1146" s="18" t="str">
        <f>HYPERLINK("http://www.generation-msx.nl/msxdb/softwareinfo/537"," Lien")</f>
        <v> Lien</v>
      </c>
      <c r="C1146" s="18">
        <v>1985</v>
      </c>
      <c r="D1146" s="18" t="s">
        <v>1498</v>
      </c>
      <c r="E1146" s="19" t="s">
        <v>55</v>
      </c>
      <c r="F1146" s="19" t="s">
        <v>10</v>
      </c>
      <c r="G1146" s="18" t="s">
        <v>11</v>
      </c>
    </row>
    <row r="1147" spans="1:7" ht="12.75">
      <c r="A1147" s="17" t="s">
        <v>1499</v>
      </c>
      <c r="B1147" s="18" t="str">
        <f>HYPERLINK("http://www.generation-msx.nl/msxdb/softwareinfo/2806"," Lien")</f>
        <v> Lien</v>
      </c>
      <c r="C1147" s="18">
        <v>1987</v>
      </c>
      <c r="D1147" s="18" t="s">
        <v>16</v>
      </c>
      <c r="E1147" s="19" t="s">
        <v>275</v>
      </c>
      <c r="F1147" s="19" t="s">
        <v>10</v>
      </c>
      <c r="G1147" s="18" t="s">
        <v>11</v>
      </c>
    </row>
    <row r="1148" spans="1:7" ht="12.75">
      <c r="A1148" s="17" t="s">
        <v>1500</v>
      </c>
      <c r="B1148" s="18" t="str">
        <f>HYPERLINK("http://www.konamito.com/ficha/?id=638"," Lien")</f>
        <v> Lien</v>
      </c>
      <c r="C1148" s="18">
        <v>1985</v>
      </c>
      <c r="D1148" s="18" t="s">
        <v>1498</v>
      </c>
      <c r="E1148" s="19" t="s">
        <v>24</v>
      </c>
      <c r="F1148" s="19" t="s">
        <v>102</v>
      </c>
      <c r="G1148" s="18" t="s">
        <v>18</v>
      </c>
    </row>
    <row r="1149" spans="1:7" ht="12.75">
      <c r="A1149" s="17" t="s">
        <v>1501</v>
      </c>
      <c r="B1149" s="18" t="str">
        <f>HYPERLINK("http://www.generation-msx.nl/msxdb/softwareinfo/366"," Lien")</f>
        <v> Lien</v>
      </c>
      <c r="C1149" s="18">
        <v>1985</v>
      </c>
      <c r="D1149" s="18" t="s">
        <v>1498</v>
      </c>
      <c r="E1149" s="19" t="s">
        <v>291</v>
      </c>
      <c r="F1149" s="19" t="s">
        <v>10</v>
      </c>
      <c r="G1149" s="18" t="s">
        <v>11</v>
      </c>
    </row>
    <row r="1150" spans="1:7" ht="12.75">
      <c r="A1150" s="49" t="s">
        <v>1502</v>
      </c>
      <c r="B1150" s="13" t="str">
        <f>HYPERLINK("http://www.generation-msx.nl/msxdb/softwareinfo/411"," Lien")</f>
        <v> Lien</v>
      </c>
      <c r="C1150" s="13">
        <v>1984</v>
      </c>
      <c r="D1150" s="13" t="s">
        <v>215</v>
      </c>
      <c r="E1150" s="14" t="s">
        <v>9</v>
      </c>
      <c r="F1150" s="14" t="s">
        <v>21</v>
      </c>
      <c r="G1150" s="13" t="s">
        <v>18</v>
      </c>
    </row>
    <row r="1151" spans="1:7" ht="12.75">
      <c r="A1151" s="132" t="s">
        <v>1503</v>
      </c>
      <c r="B1151" s="18" t="str">
        <f>HYPERLINK("http://www.generation-msx.nl/msxdb/softwareinfo/592"," Lien")</f>
        <v> Lien</v>
      </c>
      <c r="C1151" s="18">
        <v>1985</v>
      </c>
      <c r="D1151" s="18" t="s">
        <v>941</v>
      </c>
      <c r="E1151" s="19" t="s">
        <v>207</v>
      </c>
      <c r="F1151" s="19" t="s">
        <v>21</v>
      </c>
      <c r="G1151" s="18" t="s">
        <v>11</v>
      </c>
    </row>
    <row r="1152" spans="1:7" ht="12.75">
      <c r="A1152" s="49" t="s">
        <v>1504</v>
      </c>
      <c r="B1152" s="13" t="str">
        <f>HYPERLINK("http://www.generation-msx.nl/msxdb/softwareinfo/268"," Lien")</f>
        <v> Lien</v>
      </c>
      <c r="C1152" s="13">
        <v>1984</v>
      </c>
      <c r="D1152" s="13" t="s">
        <v>239</v>
      </c>
      <c r="E1152" s="14" t="s">
        <v>207</v>
      </c>
      <c r="F1152" s="14" t="s">
        <v>21</v>
      </c>
      <c r="G1152" s="13" t="s">
        <v>18</v>
      </c>
    </row>
    <row r="1153" spans="1:7" ht="12.75">
      <c r="A1153" s="36" t="s">
        <v>1505</v>
      </c>
      <c r="B1153" s="13" t="str">
        <f>HYPERLINK("http://www.generation-msx.nl/msxdb/softwareinfo/2701"," Lien")</f>
        <v> Lien</v>
      </c>
      <c r="C1153" s="13">
        <v>1988</v>
      </c>
      <c r="D1153" s="13" t="s">
        <v>486</v>
      </c>
      <c r="E1153" s="14" t="s">
        <v>9</v>
      </c>
      <c r="F1153" s="14" t="s">
        <v>10</v>
      </c>
      <c r="G1153" s="13" t="s">
        <v>18</v>
      </c>
    </row>
    <row r="1154" spans="1:7" ht="12.75">
      <c r="A1154" s="49" t="s">
        <v>1506</v>
      </c>
      <c r="B1154" s="13" t="str">
        <f>HYPERLINK("http://www.generation-msx.nl/msxdb/softwareinfo/269"," Lien")</f>
        <v> Lien</v>
      </c>
      <c r="C1154" s="13">
        <v>1984</v>
      </c>
      <c r="D1154" s="13" t="s">
        <v>344</v>
      </c>
      <c r="E1154" s="14" t="s">
        <v>275</v>
      </c>
      <c r="F1154" s="14" t="s">
        <v>27</v>
      </c>
      <c r="G1154" s="13" t="s">
        <v>18</v>
      </c>
    </row>
    <row r="1155" spans="1:7" ht="12.75">
      <c r="A1155" s="49" t="s">
        <v>1507</v>
      </c>
      <c r="B1155" s="13" t="str">
        <f>HYPERLINK("http://www.generation-msx.nl/msxdb/softwareinfo/2826"," Lien")</f>
        <v> Lien</v>
      </c>
      <c r="C1155" s="13">
        <v>1988</v>
      </c>
      <c r="D1155" s="13" t="s">
        <v>344</v>
      </c>
      <c r="E1155" s="14" t="s">
        <v>275</v>
      </c>
      <c r="F1155" s="14" t="s">
        <v>10</v>
      </c>
      <c r="G1155" s="13" t="s">
        <v>18</v>
      </c>
    </row>
    <row r="1156" spans="1:7" ht="12.75">
      <c r="A1156" s="17" t="s">
        <v>1508</v>
      </c>
      <c r="B1156" s="18"/>
      <c r="C1156" s="18">
        <v>1986</v>
      </c>
      <c r="D1156" s="18" t="s">
        <v>102</v>
      </c>
      <c r="E1156" s="19" t="s">
        <v>9</v>
      </c>
      <c r="F1156" s="19" t="s">
        <v>102</v>
      </c>
      <c r="G1156" s="18" t="s">
        <v>11</v>
      </c>
    </row>
    <row r="1157" spans="1:7" ht="12.75">
      <c r="A1157" s="17" t="s">
        <v>1509</v>
      </c>
      <c r="B1157" s="18" t="str">
        <f>HYPERLINK("http://www.generation-msx.nl/msxdb/softwareinfo/55"," Lien")</f>
        <v> Lien</v>
      </c>
      <c r="C1157" s="18">
        <v>1983</v>
      </c>
      <c r="D1157" s="18" t="s">
        <v>23</v>
      </c>
      <c r="E1157" s="19" t="s">
        <v>9</v>
      </c>
      <c r="F1157" s="19" t="s">
        <v>21</v>
      </c>
      <c r="G1157" s="18" t="s">
        <v>11</v>
      </c>
    </row>
    <row r="1158" spans="1:7" ht="12.75">
      <c r="A1158" s="132" t="s">
        <v>1510</v>
      </c>
      <c r="B1158" s="18" t="str">
        <f>HYPERLINK("http://msxdev.msxblue.com/?page_id=116"," Lien")</f>
        <v> Lien</v>
      </c>
      <c r="C1158" s="18">
        <v>2005</v>
      </c>
      <c r="D1158" s="18" t="s">
        <v>212</v>
      </c>
      <c r="E1158" s="19" t="s">
        <v>307</v>
      </c>
      <c r="F1158" s="19" t="s">
        <v>21</v>
      </c>
      <c r="G1158" s="18" t="s">
        <v>11</v>
      </c>
    </row>
    <row r="1159" spans="1:7" ht="12.75">
      <c r="A1159" s="36" t="s">
        <v>1511</v>
      </c>
      <c r="B1159" s="13" t="str">
        <f>HYPERLINK("http://www.generation-msx.nl/msxdb/softwareinfo/71"," Lien")</f>
        <v> Lien</v>
      </c>
      <c r="C1159" s="13">
        <v>1983</v>
      </c>
      <c r="D1159" s="13" t="s">
        <v>23</v>
      </c>
      <c r="E1159" s="14" t="s">
        <v>307</v>
      </c>
      <c r="F1159" s="14" t="s">
        <v>21</v>
      </c>
      <c r="G1159" s="13" t="s">
        <v>18</v>
      </c>
    </row>
    <row r="1160" spans="1:7" ht="12.75">
      <c r="A1160" s="17" t="s">
        <v>1512</v>
      </c>
      <c r="B1160" s="18"/>
      <c r="C1160" s="18">
        <v>1984</v>
      </c>
      <c r="D1160" s="18" t="s">
        <v>206</v>
      </c>
      <c r="E1160" s="19" t="s">
        <v>67</v>
      </c>
      <c r="F1160" s="19" t="s">
        <v>10</v>
      </c>
      <c r="G1160" s="18" t="s">
        <v>11</v>
      </c>
    </row>
    <row r="1161" spans="1:7" ht="12.75">
      <c r="A1161" s="17" t="s">
        <v>1513</v>
      </c>
      <c r="B1161" s="18" t="str">
        <f>HYPERLINK("http://www.generation-msx.nl/msxdb/softwareinfo/3406"," Lien")</f>
        <v> Lien</v>
      </c>
      <c r="C1161" s="18">
        <v>1984</v>
      </c>
      <c r="D1161" s="18" t="s">
        <v>206</v>
      </c>
      <c r="E1161" s="19" t="s">
        <v>67</v>
      </c>
      <c r="F1161" s="19" t="s">
        <v>10</v>
      </c>
      <c r="G1161" s="18" t="s">
        <v>11</v>
      </c>
    </row>
    <row r="1162" spans="1:7" ht="12.75">
      <c r="A1162" s="17" t="s">
        <v>1514</v>
      </c>
      <c r="B1162" s="18" t="str">
        <f>HYPERLINK("http://www.generation-msx.nl/msxdb/softwareinfo/3407"," Lien")</f>
        <v> Lien</v>
      </c>
      <c r="C1162" s="18">
        <v>1984</v>
      </c>
      <c r="D1162" s="18" t="s">
        <v>206</v>
      </c>
      <c r="E1162" s="19" t="s">
        <v>67</v>
      </c>
      <c r="F1162" s="19" t="s">
        <v>10</v>
      </c>
      <c r="G1162" s="18" t="s">
        <v>11</v>
      </c>
    </row>
    <row r="1163" spans="1:7" ht="12.75">
      <c r="A1163" s="17" t="s">
        <v>1515</v>
      </c>
      <c r="B1163" s="18"/>
      <c r="C1163" s="18">
        <v>1984</v>
      </c>
      <c r="D1163" s="18" t="s">
        <v>206</v>
      </c>
      <c r="E1163" s="19" t="s">
        <v>67</v>
      </c>
      <c r="F1163" s="19" t="s">
        <v>10</v>
      </c>
      <c r="G1163" s="18" t="s">
        <v>11</v>
      </c>
    </row>
    <row r="1164" spans="1:7" ht="12.75">
      <c r="A1164" s="17" t="s">
        <v>1516</v>
      </c>
      <c r="B1164" s="18" t="str">
        <f>HYPERLINK("http://www.generation-msx.nl/msxdb/softwareinfo/2929"," Lien")</f>
        <v> Lien</v>
      </c>
      <c r="C1164" s="18">
        <v>1986</v>
      </c>
      <c r="D1164" s="18" t="s">
        <v>466</v>
      </c>
      <c r="E1164" s="19" t="s">
        <v>9</v>
      </c>
      <c r="F1164" s="19" t="s">
        <v>10</v>
      </c>
      <c r="G1164" s="18" t="s">
        <v>11</v>
      </c>
    </row>
    <row r="1165" spans="1:7" ht="12.75">
      <c r="A1165" s="17" t="s">
        <v>1517</v>
      </c>
      <c r="B1165" s="18" t="str">
        <f>HYPERLINK("http://www.generation-msx.nl/msxdb/softwareinfo/276"," Lien")</f>
        <v> Lien</v>
      </c>
      <c r="C1165" s="18">
        <v>1984</v>
      </c>
      <c r="D1165" s="18" t="s">
        <v>1518</v>
      </c>
      <c r="E1165" s="19" t="s">
        <v>307</v>
      </c>
      <c r="F1165" s="19" t="s">
        <v>10</v>
      </c>
      <c r="G1165" s="18" t="s">
        <v>18</v>
      </c>
    </row>
    <row r="1166" spans="1:7" ht="12.75">
      <c r="A1166" s="17" t="s">
        <v>1519</v>
      </c>
      <c r="B1166" s="18"/>
      <c r="C1166" s="18">
        <v>1985</v>
      </c>
      <c r="D1166" s="18" t="s">
        <v>1520</v>
      </c>
      <c r="E1166" s="19" t="s">
        <v>55</v>
      </c>
      <c r="F1166" s="19" t="s">
        <v>102</v>
      </c>
      <c r="G1166" s="18" t="s">
        <v>11</v>
      </c>
    </row>
    <row r="1167" spans="1:7" ht="12.75">
      <c r="A1167" s="17" t="s">
        <v>1521</v>
      </c>
      <c r="B1167" s="18" t="str">
        <f>HYPERLINK("http://www.generation-msx.nl/msxdb/softwareinfo/2924"," Lien")</f>
        <v> Lien</v>
      </c>
      <c r="C1167" s="18">
        <v>1986</v>
      </c>
      <c r="D1167" s="18" t="s">
        <v>466</v>
      </c>
      <c r="E1167" s="19" t="s">
        <v>51</v>
      </c>
      <c r="F1167" s="19" t="s">
        <v>10</v>
      </c>
      <c r="G1167" s="18" t="s">
        <v>11</v>
      </c>
    </row>
    <row r="1168" spans="1:7" ht="12.75">
      <c r="A1168" s="49" t="s">
        <v>1522</v>
      </c>
      <c r="B1168" s="13" t="str">
        <f>HYPERLINK("http://www.generation-msx.nl/msxdb/softwareinfo/1813"," Lien")</f>
        <v> Lien</v>
      </c>
      <c r="C1168" s="13">
        <v>1986</v>
      </c>
      <c r="D1168" s="13" t="s">
        <v>20</v>
      </c>
      <c r="E1168" s="14" t="s">
        <v>24</v>
      </c>
      <c r="F1168" s="14" t="s">
        <v>21</v>
      </c>
      <c r="G1168" s="13" t="s">
        <v>18</v>
      </c>
    </row>
    <row r="1169" spans="1:7" ht="12.75">
      <c r="A1169" s="17" t="s">
        <v>1523</v>
      </c>
      <c r="B1169" s="18" t="str">
        <f>HYPERLINK("http://www.generation-msx.nl/msxdb/softwareinfo/2791"," Lien")</f>
        <v> Lien</v>
      </c>
      <c r="C1169" s="18">
        <v>1985</v>
      </c>
      <c r="D1169" s="18" t="s">
        <v>1524</v>
      </c>
      <c r="E1169" s="19" t="s">
        <v>251</v>
      </c>
      <c r="F1169" s="19" t="s">
        <v>10</v>
      </c>
      <c r="G1169" s="18" t="s">
        <v>11</v>
      </c>
    </row>
    <row r="1170" spans="1:7" ht="12.75">
      <c r="A1170" s="49" t="s">
        <v>1525</v>
      </c>
      <c r="B1170" s="13" t="str">
        <f>HYPERLINK("http://paxangasoft.webcindario.com/joe.htm"," Lien")</f>
        <v> Lien</v>
      </c>
      <c r="C1170" s="13">
        <v>2005</v>
      </c>
      <c r="D1170" s="13" t="s">
        <v>731</v>
      </c>
      <c r="E1170" s="14" t="s">
        <v>9</v>
      </c>
      <c r="F1170" s="14" t="s">
        <v>21</v>
      </c>
      <c r="G1170" s="13" t="s">
        <v>18</v>
      </c>
    </row>
    <row r="1171" spans="1:7" ht="12.75">
      <c r="A1171" s="36" t="s">
        <v>1526</v>
      </c>
      <c r="B1171" s="13" t="str">
        <f>HYPERLINK("http://www.generation-msx.nl/msxdb/softwareinfo/2224"," Lien")</f>
        <v> Lien</v>
      </c>
      <c r="C1171" s="13">
        <v>1988</v>
      </c>
      <c r="D1171" s="13" t="s">
        <v>1527</v>
      </c>
      <c r="E1171" s="14" t="s">
        <v>17</v>
      </c>
      <c r="F1171" s="14" t="s">
        <v>10</v>
      </c>
      <c r="G1171" s="13" t="s">
        <v>11</v>
      </c>
    </row>
    <row r="1172" spans="1:7" ht="12.75">
      <c r="A1172" s="49" t="s">
        <v>1528</v>
      </c>
      <c r="B1172" s="13" t="str">
        <f>HYPERLINK("http://www.generation-msx.nl/msxdb/softwareinfo/1188"," Lien")</f>
        <v> Lien</v>
      </c>
      <c r="C1172" s="13">
        <v>1988</v>
      </c>
      <c r="D1172" s="13" t="s">
        <v>62</v>
      </c>
      <c r="E1172" s="14" t="s">
        <v>24</v>
      </c>
      <c r="F1172" s="14" t="s">
        <v>52</v>
      </c>
      <c r="G1172" s="13" t="s">
        <v>18</v>
      </c>
    </row>
    <row r="1173" spans="1:7" ht="12.75">
      <c r="A1173" s="49" t="s">
        <v>1529</v>
      </c>
      <c r="B1173" s="13" t="str">
        <f>HYPERLINK("http://www.generation-msx.nl/msxdb/softwareinfo/56"," Lien")</f>
        <v> Lien</v>
      </c>
      <c r="C1173" s="13">
        <v>1983</v>
      </c>
      <c r="D1173" s="13" t="s">
        <v>23</v>
      </c>
      <c r="E1173" s="14" t="s">
        <v>17</v>
      </c>
      <c r="F1173" s="14" t="s">
        <v>21</v>
      </c>
      <c r="G1173" s="13" t="s">
        <v>18</v>
      </c>
    </row>
    <row r="1174" spans="1:7" ht="12.75">
      <c r="A1174" s="17" t="s">
        <v>1530</v>
      </c>
      <c r="B1174" s="18" t="str">
        <f>HYPERLINK("http://www.generation-msx.nl/msxdb/softwareinfo/2763"," Lien")</f>
        <v> Lien</v>
      </c>
      <c r="C1174" s="18">
        <v>1988</v>
      </c>
      <c r="D1174" s="18" t="s">
        <v>295</v>
      </c>
      <c r="E1174" s="19" t="s">
        <v>17</v>
      </c>
      <c r="F1174" s="19" t="s">
        <v>10</v>
      </c>
      <c r="G1174" s="18" t="s">
        <v>11</v>
      </c>
    </row>
    <row r="1175" spans="1:7" ht="12.75">
      <c r="A1175" s="17" t="s">
        <v>1531</v>
      </c>
      <c r="B1175" s="18" t="str">
        <f>HYPERLINK("http://www.generation-msx.nl/msxdb/softwareinfo/2764"," Lien")</f>
        <v> Lien</v>
      </c>
      <c r="C1175" s="18">
        <v>1988</v>
      </c>
      <c r="D1175" s="18" t="s">
        <v>1532</v>
      </c>
      <c r="E1175" s="19" t="s">
        <v>307</v>
      </c>
      <c r="F1175" s="19" t="s">
        <v>10</v>
      </c>
      <c r="G1175" s="18" t="s">
        <v>11</v>
      </c>
    </row>
    <row r="1176" spans="1:7" ht="12.75">
      <c r="A1176" s="36" t="s">
        <v>1533</v>
      </c>
      <c r="B1176" s="13" t="str">
        <f>HYPERLINK("http://www.generation-msx.nl/msxdb/softwareinfo/582"," Lien")</f>
        <v> Lien</v>
      </c>
      <c r="C1176" s="13">
        <v>1984</v>
      </c>
      <c r="D1176" s="13" t="s">
        <v>109</v>
      </c>
      <c r="E1176" s="14" t="s">
        <v>24</v>
      </c>
      <c r="F1176" s="14" t="s">
        <v>27</v>
      </c>
      <c r="G1176" s="13" t="s">
        <v>18</v>
      </c>
    </row>
    <row r="1177" spans="1:7" ht="12.75">
      <c r="A1177" s="124" t="s">
        <v>1534</v>
      </c>
      <c r="B1177" s="18" t="str">
        <f>HYPERLINK("http://www.konamito.com/ficha/?id=1760"," Lien")</f>
        <v> Lien</v>
      </c>
      <c r="C1177" s="18">
        <v>1986</v>
      </c>
      <c r="D1177" s="18" t="s">
        <v>747</v>
      </c>
      <c r="E1177" s="19" t="s">
        <v>67</v>
      </c>
      <c r="F1177" s="19" t="s">
        <v>48</v>
      </c>
      <c r="G1177" s="18" t="s">
        <v>11</v>
      </c>
    </row>
    <row r="1178" spans="1:7" ht="12.75">
      <c r="A1178" s="17" t="s">
        <v>1535</v>
      </c>
      <c r="B1178" s="18"/>
      <c r="C1178" s="18" t="s">
        <v>102</v>
      </c>
      <c r="D1178" s="18" t="s">
        <v>102</v>
      </c>
      <c r="E1178" s="19" t="s">
        <v>207</v>
      </c>
      <c r="F1178" s="19" t="s">
        <v>102</v>
      </c>
      <c r="G1178" s="18" t="s">
        <v>11</v>
      </c>
    </row>
    <row r="1179" spans="1:7" ht="12.75">
      <c r="A1179" s="17" t="s">
        <v>1536</v>
      </c>
      <c r="B1179" s="18" t="str">
        <f>HYPERLINK("http://www.generation-msx.nl/msxdb/softwareinfo/3485"," Lien")</f>
        <v> Lien</v>
      </c>
      <c r="C1179" s="18" t="s">
        <v>102</v>
      </c>
      <c r="D1179" s="18" t="s">
        <v>1518</v>
      </c>
      <c r="E1179" s="19" t="s">
        <v>40</v>
      </c>
      <c r="F1179" s="19" t="s">
        <v>102</v>
      </c>
      <c r="G1179" s="18" t="s">
        <v>11</v>
      </c>
    </row>
    <row r="1180" spans="1:7" ht="12.75">
      <c r="A1180" s="17" t="s">
        <v>1537</v>
      </c>
      <c r="B1180" s="18" t="str">
        <f>HYPERLINK("http://www.generation-msx.nl/msxdb/softwareinfo/2085"," Lien")</f>
        <v> Lien</v>
      </c>
      <c r="C1180" s="18">
        <v>1987</v>
      </c>
      <c r="D1180" s="18" t="s">
        <v>302</v>
      </c>
      <c r="E1180" s="19" t="s">
        <v>9</v>
      </c>
      <c r="F1180" s="19" t="s">
        <v>10</v>
      </c>
      <c r="G1180" s="18" t="s">
        <v>11</v>
      </c>
    </row>
    <row r="1181" spans="1:7" ht="12.75">
      <c r="A1181" s="36" t="s">
        <v>1538</v>
      </c>
      <c r="B1181" s="13" t="str">
        <f>HYPERLINK("http://www.generation-msx.nl/msxdb/softwareinfo/3265"," Lien")</f>
        <v> Lien</v>
      </c>
      <c r="C1181" s="13">
        <v>1986</v>
      </c>
      <c r="D1181" s="13" t="s">
        <v>115</v>
      </c>
      <c r="E1181" s="14" t="s">
        <v>67</v>
      </c>
      <c r="F1181" s="14" t="s">
        <v>10</v>
      </c>
      <c r="G1181" s="13" t="s">
        <v>18</v>
      </c>
    </row>
    <row r="1182" spans="1:7" ht="12.75">
      <c r="A1182" s="49" t="s">
        <v>1539</v>
      </c>
      <c r="B1182" s="13" t="str">
        <f>HYPERLINK("http://www.generation-msx.nl/msxdb/softwareinfo/432"," Lien")</f>
        <v> Lien</v>
      </c>
      <c r="C1182" s="13">
        <v>1985</v>
      </c>
      <c r="D1182" s="13" t="s">
        <v>206</v>
      </c>
      <c r="E1182" s="14" t="s">
        <v>43</v>
      </c>
      <c r="F1182" s="14" t="s">
        <v>21</v>
      </c>
      <c r="G1182" s="13" t="s">
        <v>18</v>
      </c>
    </row>
    <row r="1183" spans="1:7" ht="12.75">
      <c r="A1183" s="49" t="s">
        <v>1540</v>
      </c>
      <c r="B1183" s="13" t="str">
        <f>HYPERLINK("http://www.dvik-joyrex.com/games.html"," Lien")</f>
        <v> Lien</v>
      </c>
      <c r="C1183" s="13">
        <v>2008</v>
      </c>
      <c r="D1183" s="13" t="s">
        <v>1232</v>
      </c>
      <c r="E1183" s="14" t="s">
        <v>67</v>
      </c>
      <c r="F1183" s="14" t="s">
        <v>21</v>
      </c>
      <c r="G1183" s="13" t="s">
        <v>18</v>
      </c>
    </row>
    <row r="1184" spans="1:7" ht="12.75">
      <c r="A1184" s="49" t="s">
        <v>1541</v>
      </c>
      <c r="B1184" s="13" t="str">
        <f>HYPERLINK("http://www.generation-msx.nl/msxdb/softwareinfo/280"," Lien")</f>
        <v> Lien</v>
      </c>
      <c r="C1184" s="13">
        <v>1984</v>
      </c>
      <c r="D1184" s="13" t="s">
        <v>1389</v>
      </c>
      <c r="E1184" s="14" t="s">
        <v>9</v>
      </c>
      <c r="F1184" s="14" t="s">
        <v>21</v>
      </c>
      <c r="G1184" s="13" t="s">
        <v>18</v>
      </c>
    </row>
    <row r="1185" spans="1:7" ht="12.75">
      <c r="A1185" s="49" t="s">
        <v>1542</v>
      </c>
      <c r="B1185" s="13" t="str">
        <f>HYPERLINK("http://www.generation-msx.nl/msxdb/softwareinfo/850"," Lien")</f>
        <v> Lien</v>
      </c>
      <c r="C1185" s="13">
        <v>1986</v>
      </c>
      <c r="D1185" s="13" t="s">
        <v>1359</v>
      </c>
      <c r="E1185" s="14" t="s">
        <v>9</v>
      </c>
      <c r="F1185" s="14" t="s">
        <v>21</v>
      </c>
      <c r="G1185" s="13" t="s">
        <v>11</v>
      </c>
    </row>
    <row r="1186" spans="1:7" ht="12.75">
      <c r="A1186" s="17" t="s">
        <v>1543</v>
      </c>
      <c r="B1186" s="18" t="str">
        <f>HYPERLINK("http://www.generation-msx.nl/msxdb/softwareinfo/2356"," Lien")</f>
        <v> Lien</v>
      </c>
      <c r="C1186" s="18">
        <v>1986</v>
      </c>
      <c r="D1186" s="18" t="s">
        <v>649</v>
      </c>
      <c r="E1186" s="19" t="s">
        <v>17</v>
      </c>
      <c r="F1186" s="19" t="s">
        <v>10</v>
      </c>
      <c r="G1186" s="18" t="s">
        <v>11</v>
      </c>
    </row>
    <row r="1187" spans="1:7" ht="12.75">
      <c r="A1187" s="17" t="s">
        <v>1544</v>
      </c>
      <c r="B1187" s="18" t="str">
        <f>HYPERLINK("http://www.generation-msx.nl/msxdb/softwareinfo/3057"," Lien")</f>
        <v> Lien</v>
      </c>
      <c r="C1187" s="18">
        <v>1988</v>
      </c>
      <c r="D1187" s="18" t="s">
        <v>177</v>
      </c>
      <c r="E1187" s="19" t="s">
        <v>9</v>
      </c>
      <c r="F1187" s="19" t="s">
        <v>178</v>
      </c>
      <c r="G1187" s="18" t="s">
        <v>11</v>
      </c>
    </row>
    <row r="1188" spans="1:7" ht="12.75">
      <c r="A1188" s="49" t="s">
        <v>1545</v>
      </c>
      <c r="B1188" s="13" t="str">
        <f>HYPERLINK("http://www.generation-msx.nl/msxdb/softwareinfo/873"," Lien")</f>
        <v> Lien</v>
      </c>
      <c r="C1188" s="13">
        <v>1986</v>
      </c>
      <c r="D1188" s="13" t="s">
        <v>62</v>
      </c>
      <c r="E1188" s="14" t="s">
        <v>9</v>
      </c>
      <c r="F1188" s="14" t="s">
        <v>52</v>
      </c>
      <c r="G1188" s="13" t="s">
        <v>18</v>
      </c>
    </row>
    <row r="1189" spans="1:7" ht="12.75">
      <c r="A1189" s="49" t="s">
        <v>1546</v>
      </c>
      <c r="B1189" s="13" t="str">
        <f>HYPERLINK("http://msxdev.msxblue.com/?page_id=275"," Lien")</f>
        <v> Lien</v>
      </c>
      <c r="C1189" s="13">
        <v>2006</v>
      </c>
      <c r="D1189" s="13" t="s">
        <v>1547</v>
      </c>
      <c r="E1189" s="14" t="s">
        <v>9</v>
      </c>
      <c r="F1189" s="14" t="s">
        <v>21</v>
      </c>
      <c r="G1189" s="13" t="s">
        <v>18</v>
      </c>
    </row>
    <row r="1190" spans="1:7" ht="12.75">
      <c r="A1190" s="17" t="s">
        <v>1548</v>
      </c>
      <c r="B1190" s="18" t="str">
        <f>HYPERLINK("http://www.konamito.com/ficha/?id=1112"," Lien")</f>
        <v> Lien</v>
      </c>
      <c r="C1190" s="18">
        <v>1989</v>
      </c>
      <c r="D1190" s="18" t="s">
        <v>177</v>
      </c>
      <c r="E1190" s="19" t="s">
        <v>9</v>
      </c>
      <c r="F1190" s="19" t="s">
        <v>10</v>
      </c>
      <c r="G1190" s="18" t="s">
        <v>11</v>
      </c>
    </row>
    <row r="1191" spans="1:7" ht="12.75">
      <c r="A1191" s="36" t="s">
        <v>1549</v>
      </c>
      <c r="B1191" s="13" t="str">
        <f>HYPERLINK("http://msxdev.msxblue.com/?page_id=305"," Lien")</f>
        <v> Lien</v>
      </c>
      <c r="C1191" s="13">
        <v>2007</v>
      </c>
      <c r="D1191" s="13" t="s">
        <v>1547</v>
      </c>
      <c r="E1191" s="14" t="s">
        <v>9</v>
      </c>
      <c r="F1191" s="14" t="s">
        <v>21</v>
      </c>
      <c r="G1191" s="13" t="s">
        <v>18</v>
      </c>
    </row>
    <row r="1192" spans="1:7" ht="12.75">
      <c r="A1192" s="132" t="s">
        <v>1550</v>
      </c>
      <c r="B1192" s="18" t="str">
        <f>HYPERLINK("http://msxdev.msxblue.com/?page_id=48"," Lien")</f>
        <v> Lien</v>
      </c>
      <c r="C1192" s="18">
        <v>2003</v>
      </c>
      <c r="D1192" s="18" t="s">
        <v>265</v>
      </c>
      <c r="E1192" s="19" t="s">
        <v>9</v>
      </c>
      <c r="F1192" s="19" t="s">
        <v>21</v>
      </c>
      <c r="G1192" s="18" t="s">
        <v>11</v>
      </c>
    </row>
    <row r="1193" spans="1:7" ht="12.75">
      <c r="A1193" s="36" t="s">
        <v>1551</v>
      </c>
      <c r="B1193" s="13" t="str">
        <f>HYPERLINK("http://www.generation-msx.nl/msxdb/softwareinfo/642"," Lien")</f>
        <v> Lien</v>
      </c>
      <c r="C1193" s="13">
        <v>1985</v>
      </c>
      <c r="D1193" s="13" t="s">
        <v>23</v>
      </c>
      <c r="E1193" s="14" t="s">
        <v>9</v>
      </c>
      <c r="F1193" s="14" t="s">
        <v>21</v>
      </c>
      <c r="G1193" s="13" t="s">
        <v>18</v>
      </c>
    </row>
    <row r="1194" spans="1:7" ht="12.75">
      <c r="A1194" s="36" t="s">
        <v>1552</v>
      </c>
      <c r="B1194" s="13" t="str">
        <f>HYPERLINK("http://www.generation-msx.nl/msxdb/softwareinfo/3122"," Lien")</f>
        <v> Lien</v>
      </c>
      <c r="C1194" s="13">
        <v>1986</v>
      </c>
      <c r="D1194" s="13" t="s">
        <v>119</v>
      </c>
      <c r="E1194" s="14" t="s">
        <v>110</v>
      </c>
      <c r="F1194" s="14" t="s">
        <v>10</v>
      </c>
      <c r="G1194" s="13" t="s">
        <v>18</v>
      </c>
    </row>
    <row r="1195" spans="1:7" ht="12.75">
      <c r="A1195" s="17" t="s">
        <v>1553</v>
      </c>
      <c r="B1195" s="18" t="str">
        <f>HYPERLINK("http://www.generation-msx.nl/msxdb/softwareinfo/3290"," Lien")</f>
        <v> Lien</v>
      </c>
      <c r="C1195" s="18">
        <v>1986</v>
      </c>
      <c r="D1195" s="18" t="s">
        <v>302</v>
      </c>
      <c r="E1195" s="19" t="s">
        <v>9</v>
      </c>
      <c r="F1195" s="19" t="s">
        <v>10</v>
      </c>
      <c r="G1195" s="18" t="s">
        <v>11</v>
      </c>
    </row>
    <row r="1196" spans="1:7" ht="12.75">
      <c r="A1196" s="17" t="s">
        <v>1554</v>
      </c>
      <c r="B1196" s="18" t="str">
        <f>HYPERLINK("http://www.generation-msx.nl/msxdb/softwareinfo/2310"," Lien")</f>
        <v> Lien</v>
      </c>
      <c r="C1196" s="18">
        <v>1989</v>
      </c>
      <c r="D1196" s="18" t="s">
        <v>113</v>
      </c>
      <c r="E1196" s="19" t="s">
        <v>17</v>
      </c>
      <c r="F1196" s="19" t="s">
        <v>10</v>
      </c>
      <c r="G1196" s="18" t="s">
        <v>11</v>
      </c>
    </row>
    <row r="1197" spans="1:7" ht="12.75">
      <c r="A1197" s="36" t="s">
        <v>1555</v>
      </c>
      <c r="B1197" s="13" t="str">
        <f>HYPERLINK("http://www.generation-msx.nl/msxdb/softwareinfo/3266"," Lien")</f>
        <v> Lien</v>
      </c>
      <c r="C1197" s="13">
        <v>1986</v>
      </c>
      <c r="D1197" s="13" t="s">
        <v>115</v>
      </c>
      <c r="E1197" s="14" t="s">
        <v>67</v>
      </c>
      <c r="F1197" s="14" t="s">
        <v>10</v>
      </c>
      <c r="G1197" s="13" t="s">
        <v>18</v>
      </c>
    </row>
    <row r="1198" spans="1:7" ht="12.75">
      <c r="A1198" s="17" t="s">
        <v>1556</v>
      </c>
      <c r="B1198" s="18" t="str">
        <f>HYPERLINK("http://www.konamito.com/ficha/?id=1530"," Lien")</f>
        <v> Lien</v>
      </c>
      <c r="C1198" s="18">
        <v>1987</v>
      </c>
      <c r="D1198" s="18" t="s">
        <v>486</v>
      </c>
      <c r="E1198" s="19" t="s">
        <v>17</v>
      </c>
      <c r="F1198" s="19" t="s">
        <v>10</v>
      </c>
      <c r="G1198" s="18" t="s">
        <v>11</v>
      </c>
    </row>
    <row r="1199" spans="1:7" ht="12.75">
      <c r="A1199" s="17" t="s">
        <v>1557</v>
      </c>
      <c r="B1199" s="18" t="str">
        <f>HYPERLINK("http://www.generation-msx.nl/msxdb/softwareinfo/2142"," Lien")</f>
        <v> Lien</v>
      </c>
      <c r="C1199" s="18">
        <v>1987</v>
      </c>
      <c r="D1199" s="18" t="s">
        <v>73</v>
      </c>
      <c r="E1199" s="19" t="s">
        <v>24</v>
      </c>
      <c r="F1199" s="19" t="s">
        <v>10</v>
      </c>
      <c r="G1199" s="18" t="s">
        <v>11</v>
      </c>
    </row>
    <row r="1200" spans="1:7" ht="12.75">
      <c r="A1200" s="17" t="s">
        <v>1558</v>
      </c>
      <c r="B1200" s="18" t="str">
        <f>HYPERLINK("http://www.generation-msx.nl/msxdb/softwareinfo/2143"," Lien")</f>
        <v> Lien</v>
      </c>
      <c r="C1200" s="18">
        <v>1987</v>
      </c>
      <c r="D1200" s="18" t="s">
        <v>73</v>
      </c>
      <c r="E1200" s="19" t="s">
        <v>51</v>
      </c>
      <c r="F1200" s="19" t="s">
        <v>10</v>
      </c>
      <c r="G1200" s="18" t="s">
        <v>11</v>
      </c>
    </row>
    <row r="1201" spans="1:7" ht="12.75">
      <c r="A1201" s="17" t="s">
        <v>1559</v>
      </c>
      <c r="B1201" s="18" t="str">
        <f>HYPERLINK("http://www.generation-msx.nl/msxdb/softwareinfo/3042"," Lien")</f>
        <v> Lien</v>
      </c>
      <c r="C1201" s="18">
        <v>1988</v>
      </c>
      <c r="D1201" s="18" t="s">
        <v>177</v>
      </c>
      <c r="E1201" s="19" t="s">
        <v>9</v>
      </c>
      <c r="F1201" s="19" t="s">
        <v>48</v>
      </c>
      <c r="G1201" s="18" t="s">
        <v>11</v>
      </c>
    </row>
    <row r="1202" spans="1:7" ht="12.75">
      <c r="A1202" s="36" t="s">
        <v>1560</v>
      </c>
      <c r="B1202" s="13" t="str">
        <f>HYPERLINK("http://www.generation-msx.nl/msxdb/softwareinfo/61"," Lien")</f>
        <v> Lien</v>
      </c>
      <c r="C1202" s="13">
        <v>1983</v>
      </c>
      <c r="D1202" s="13" t="s">
        <v>932</v>
      </c>
      <c r="E1202" s="14" t="s">
        <v>9</v>
      </c>
      <c r="F1202" s="14" t="s">
        <v>10</v>
      </c>
      <c r="G1202" s="13" t="s">
        <v>18</v>
      </c>
    </row>
    <row r="1203" spans="1:7" ht="12.75">
      <c r="A1203" s="36" t="s">
        <v>1561</v>
      </c>
      <c r="B1203" s="13" t="str">
        <f>HYPERLINK("http://www.generation-msx.nl/msxdb/softwareinfo/60"," Lien")</f>
        <v> Lien</v>
      </c>
      <c r="C1203" s="13">
        <v>1983</v>
      </c>
      <c r="D1203" s="13" t="s">
        <v>215</v>
      </c>
      <c r="E1203" s="14" t="s">
        <v>307</v>
      </c>
      <c r="F1203" s="14" t="s">
        <v>21</v>
      </c>
      <c r="G1203" s="13" t="s">
        <v>18</v>
      </c>
    </row>
    <row r="1204" spans="1:7" ht="12.75">
      <c r="A1204" s="132" t="s">
        <v>1562</v>
      </c>
      <c r="B1204" s="18" t="str">
        <f>HYPERLINK("http://karoshi.auic.es/index.php?topic=831.msg11704#msg11704"," Lien")</f>
        <v> Lien</v>
      </c>
      <c r="C1204" s="18">
        <v>2004</v>
      </c>
      <c r="D1204" s="18" t="s">
        <v>503</v>
      </c>
      <c r="E1204" s="19" t="s">
        <v>307</v>
      </c>
      <c r="F1204" s="19" t="s">
        <v>21</v>
      </c>
      <c r="G1204" s="18" t="s">
        <v>11</v>
      </c>
    </row>
    <row r="1205" spans="1:7" ht="12.75">
      <c r="A1205" s="36" t="s">
        <v>1563</v>
      </c>
      <c r="B1205" s="13" t="str">
        <f>HYPERLINK("http://www.generation-msx.nl/msxdb/softwareinfo/3021"," Lien")</f>
        <v> Lien</v>
      </c>
      <c r="C1205" s="13">
        <v>1988</v>
      </c>
      <c r="D1205" s="13" t="s">
        <v>177</v>
      </c>
      <c r="E1205" s="14" t="s">
        <v>765</v>
      </c>
      <c r="F1205" s="14" t="s">
        <v>48</v>
      </c>
      <c r="G1205" s="13" t="s">
        <v>18</v>
      </c>
    </row>
    <row r="1206" spans="1:7" ht="12.75">
      <c r="A1206" s="17" t="s">
        <v>1564</v>
      </c>
      <c r="B1206" s="18" t="str">
        <f>HYPERLINK("http://www.generation-msx.nl/msxdb/softwareinfo/615"," Lien")</f>
        <v> Lien</v>
      </c>
      <c r="C1206" s="18">
        <v>1985</v>
      </c>
      <c r="D1206" s="18" t="s">
        <v>1389</v>
      </c>
      <c r="E1206" s="19" t="s">
        <v>765</v>
      </c>
      <c r="F1206" s="19" t="s">
        <v>21</v>
      </c>
      <c r="G1206" s="18" t="s">
        <v>11</v>
      </c>
    </row>
    <row r="1207" spans="1:7" ht="12.75">
      <c r="A1207" s="36" t="s">
        <v>1565</v>
      </c>
      <c r="B1207" s="13" t="str">
        <f>HYPERLINK("http://www.generation-msx.nl/msxdb/softwareinfo/259"," Lien")</f>
        <v> Lien</v>
      </c>
      <c r="C1207" s="13">
        <v>1984</v>
      </c>
      <c r="D1207" s="13" t="s">
        <v>803</v>
      </c>
      <c r="E1207" s="14" t="s">
        <v>9</v>
      </c>
      <c r="F1207" s="14" t="s">
        <v>27</v>
      </c>
      <c r="G1207" s="13" t="s">
        <v>18</v>
      </c>
    </row>
    <row r="1208" spans="1:7" ht="12.75">
      <c r="A1208" s="17" t="s">
        <v>1566</v>
      </c>
      <c r="B1208" s="18"/>
      <c r="C1208" s="18" t="s">
        <v>102</v>
      </c>
      <c r="D1208" s="18" t="s">
        <v>102</v>
      </c>
      <c r="E1208" s="19" t="s">
        <v>9</v>
      </c>
      <c r="F1208" s="19" t="s">
        <v>102</v>
      </c>
      <c r="G1208" s="18" t="s">
        <v>11</v>
      </c>
    </row>
    <row r="1209" spans="1:7" ht="12.75">
      <c r="A1209" s="17" t="s">
        <v>1567</v>
      </c>
      <c r="B1209" s="18" t="str">
        <f>HYPERLINK("http://www.generation-msx.nl/msxdb/softwareinfo/3102"," Lien")</f>
        <v> Lien</v>
      </c>
      <c r="C1209" s="18">
        <v>1988</v>
      </c>
      <c r="D1209" s="18" t="s">
        <v>1568</v>
      </c>
      <c r="E1209" s="19" t="s">
        <v>9</v>
      </c>
      <c r="F1209" s="19" t="s">
        <v>10</v>
      </c>
      <c r="G1209" s="18" t="s">
        <v>11</v>
      </c>
    </row>
    <row r="1210" spans="1:7" ht="12.75">
      <c r="A1210" s="49" t="s">
        <v>1569</v>
      </c>
      <c r="B1210" s="13" t="str">
        <f>HYPERLINK("http://www.generation-msx.nl/msxdb/softwareinfo/614"," Lien")</f>
        <v> Lien</v>
      </c>
      <c r="C1210" s="13">
        <v>1984</v>
      </c>
      <c r="D1210" s="13" t="s">
        <v>1389</v>
      </c>
      <c r="E1210" s="14" t="s">
        <v>9</v>
      </c>
      <c r="F1210" s="14" t="s">
        <v>21</v>
      </c>
      <c r="G1210" s="13" t="s">
        <v>18</v>
      </c>
    </row>
    <row r="1211" spans="1:7" ht="12.75">
      <c r="A1211" s="17" t="s">
        <v>1570</v>
      </c>
      <c r="B1211" s="18"/>
      <c r="C1211" s="18">
        <v>1985</v>
      </c>
      <c r="D1211" s="18" t="s">
        <v>769</v>
      </c>
      <c r="E1211" s="19" t="s">
        <v>9</v>
      </c>
      <c r="F1211" s="19" t="s">
        <v>102</v>
      </c>
      <c r="G1211" s="18" t="s">
        <v>11</v>
      </c>
    </row>
    <row r="1212" spans="1:7" ht="12.75">
      <c r="A1212" s="49" t="s">
        <v>1571</v>
      </c>
      <c r="B1212" s="13" t="str">
        <f>HYPERLINK("http://www.generation-msx.nl/msxdb/softwareinfo/611"," Lien")</f>
        <v> Lien</v>
      </c>
      <c r="C1212" s="13">
        <v>1985</v>
      </c>
      <c r="D1212" s="13" t="s">
        <v>1457</v>
      </c>
      <c r="E1212" s="14" t="s">
        <v>9</v>
      </c>
      <c r="F1212" s="14" t="s">
        <v>21</v>
      </c>
      <c r="G1212" s="13" t="s">
        <v>18</v>
      </c>
    </row>
    <row r="1213" spans="1:7" ht="12.75">
      <c r="A1213" s="36" t="s">
        <v>1572</v>
      </c>
      <c r="B1213" s="13" t="str">
        <f>HYPERLINK("http://www.generation-msx.nl/msxdb/softwareinfo/612"," Lien")</f>
        <v> Lien</v>
      </c>
      <c r="C1213" s="13">
        <v>1985</v>
      </c>
      <c r="D1213" s="13" t="s">
        <v>62</v>
      </c>
      <c r="E1213" s="14" t="s">
        <v>9</v>
      </c>
      <c r="F1213" s="14" t="s">
        <v>21</v>
      </c>
      <c r="G1213" s="13" t="s">
        <v>18</v>
      </c>
    </row>
    <row r="1214" spans="1:7" ht="12.75">
      <c r="A1214" s="17" t="s">
        <v>1573</v>
      </c>
      <c r="B1214" s="18" t="str">
        <f>HYPERLINK("http://www.generation-msx.nl/msxdb/softwareinfo/2348"," Lien")</f>
        <v> Lien</v>
      </c>
      <c r="C1214" s="18">
        <v>1991</v>
      </c>
      <c r="D1214" s="18" t="s">
        <v>96</v>
      </c>
      <c r="E1214" s="19" t="s">
        <v>9</v>
      </c>
      <c r="F1214" s="19" t="s">
        <v>10</v>
      </c>
      <c r="G1214" s="18" t="s">
        <v>11</v>
      </c>
    </row>
    <row r="1215" spans="1:7" ht="12.75">
      <c r="A1215" s="36" t="s">
        <v>1574</v>
      </c>
      <c r="B1215" s="13" t="str">
        <f>HYPERLINK("http://www.generation-msx.nl/msxdb/softwareinfo/284"," Lien")</f>
        <v> Lien</v>
      </c>
      <c r="C1215" s="13">
        <v>1984</v>
      </c>
      <c r="D1215" s="13" t="s">
        <v>109</v>
      </c>
      <c r="E1215" s="14" t="s">
        <v>9</v>
      </c>
      <c r="F1215" s="14" t="s">
        <v>27</v>
      </c>
      <c r="G1215" s="13" t="s">
        <v>18</v>
      </c>
    </row>
    <row r="1216" spans="1:7" ht="12.75">
      <c r="A1216" s="36" t="s">
        <v>1575</v>
      </c>
      <c r="B1216" s="13" t="str">
        <f>HYPERLINK("http://www.generation-msx.nl/msxdb/softwareinfo/607"," Lien")</f>
        <v> Lien</v>
      </c>
      <c r="C1216" s="13">
        <v>1984</v>
      </c>
      <c r="D1216" s="13" t="s">
        <v>109</v>
      </c>
      <c r="E1216" s="14" t="s">
        <v>9</v>
      </c>
      <c r="F1216" s="14" t="s">
        <v>27</v>
      </c>
      <c r="G1216" s="13" t="s">
        <v>18</v>
      </c>
    </row>
    <row r="1217" spans="1:7" ht="12.75">
      <c r="A1217" s="17" t="s">
        <v>1576</v>
      </c>
      <c r="B1217" s="18" t="str">
        <f>HYPERLINK("http://www.konamito.com/ficha/?id=2832"," Lien")</f>
        <v> Lien</v>
      </c>
      <c r="C1217" s="18">
        <v>1986</v>
      </c>
      <c r="D1217" s="18" t="s">
        <v>102</v>
      </c>
      <c r="E1217" s="19" t="s">
        <v>9</v>
      </c>
      <c r="F1217" s="19" t="s">
        <v>102</v>
      </c>
      <c r="G1217" s="18" t="s">
        <v>11</v>
      </c>
    </row>
    <row r="1218" spans="1:7" ht="12.75">
      <c r="A1218" s="17" t="s">
        <v>1577</v>
      </c>
      <c r="B1218" s="18"/>
      <c r="C1218" s="18" t="s">
        <v>102</v>
      </c>
      <c r="D1218" s="18" t="s">
        <v>585</v>
      </c>
      <c r="E1218" s="19" t="s">
        <v>67</v>
      </c>
      <c r="F1218" s="19" t="s">
        <v>102</v>
      </c>
      <c r="G1218" s="18" t="s">
        <v>11</v>
      </c>
    </row>
    <row r="1219" spans="1:7" ht="12.75">
      <c r="A1219" s="51" t="s">
        <v>1578</v>
      </c>
      <c r="B1219" s="126" t="str">
        <f>HYPERLINK("http://www.konamito.com/ficha/?id=1291"," Lien")</f>
        <v> Lien</v>
      </c>
      <c r="C1219" s="126" t="s">
        <v>102</v>
      </c>
      <c r="D1219" s="126" t="s">
        <v>102</v>
      </c>
      <c r="E1219" s="54" t="s">
        <v>24</v>
      </c>
      <c r="F1219" s="54" t="s">
        <v>102</v>
      </c>
      <c r="G1219" s="126" t="s">
        <v>361</v>
      </c>
    </row>
    <row r="1220" spans="1:7" ht="12.75">
      <c r="A1220" s="17" t="s">
        <v>1579</v>
      </c>
      <c r="B1220" s="18" t="str">
        <f>HYPERLINK("http://www.konamito.com/ficha/?id=1103"," Lien")</f>
        <v> Lien</v>
      </c>
      <c r="C1220" s="18">
        <v>1987</v>
      </c>
      <c r="D1220" s="18" t="s">
        <v>1580</v>
      </c>
      <c r="E1220" s="19" t="s">
        <v>55</v>
      </c>
      <c r="F1220" s="19" t="s">
        <v>102</v>
      </c>
      <c r="G1220" s="18" t="s">
        <v>11</v>
      </c>
    </row>
    <row r="1221" spans="1:7" ht="12.75">
      <c r="A1221" s="49" t="s">
        <v>1581</v>
      </c>
      <c r="B1221" s="13" t="str">
        <f>HYPERLINK("http://www.generation-msx.nl/msxdb/softwareinfo/844"," Lien")</f>
        <v> Lien</v>
      </c>
      <c r="C1221" s="13">
        <v>1986</v>
      </c>
      <c r="D1221" s="13" t="s">
        <v>206</v>
      </c>
      <c r="E1221" s="14" t="s">
        <v>17</v>
      </c>
      <c r="F1221" s="14" t="s">
        <v>21</v>
      </c>
      <c r="G1221" s="13" t="s">
        <v>18</v>
      </c>
    </row>
    <row r="1222" spans="1:7" ht="12.75">
      <c r="A1222" s="36" t="s">
        <v>1582</v>
      </c>
      <c r="B1222" s="13" t="str">
        <f>HYPERLINK("http://www.generation-msx.nl/msxdb/softwareinfo/2451"," Lien")</f>
        <v> Lien</v>
      </c>
      <c r="C1222" s="13">
        <v>1988</v>
      </c>
      <c r="D1222" s="13" t="s">
        <v>177</v>
      </c>
      <c r="E1222" s="14" t="s">
        <v>40</v>
      </c>
      <c r="F1222" s="14" t="s">
        <v>178</v>
      </c>
      <c r="G1222" s="13" t="s">
        <v>18</v>
      </c>
    </row>
    <row r="1223" spans="1:7" ht="12.75">
      <c r="A1223" s="17" t="s">
        <v>1583</v>
      </c>
      <c r="B1223" s="18" t="str">
        <f>HYPERLINK("http://msxdev.msxblue.com/?page_id=366"," Lien")</f>
        <v> Lien</v>
      </c>
      <c r="C1223" s="18">
        <v>2009</v>
      </c>
      <c r="D1223" s="18" t="s">
        <v>212</v>
      </c>
      <c r="E1223" s="19" t="s">
        <v>9</v>
      </c>
      <c r="F1223" s="19" t="s">
        <v>21</v>
      </c>
      <c r="G1223" s="18" t="s">
        <v>11</v>
      </c>
    </row>
    <row r="1224" spans="1:7" ht="12.75">
      <c r="A1224" s="17" t="s">
        <v>1584</v>
      </c>
      <c r="B1224" s="18" t="str">
        <f>HYPERLINK("http://www.generation-msx.nl/msxdb/softwareinfo/2349"," Lien")</f>
        <v> Lien</v>
      </c>
      <c r="C1224" s="18">
        <v>1988</v>
      </c>
      <c r="D1224" s="18" t="s">
        <v>96</v>
      </c>
      <c r="E1224" s="19" t="s">
        <v>9</v>
      </c>
      <c r="F1224" s="19" t="s">
        <v>10</v>
      </c>
      <c r="G1224" s="18" t="s">
        <v>11</v>
      </c>
    </row>
    <row r="1225" spans="1:7" ht="12.75">
      <c r="A1225" s="17" t="s">
        <v>1585</v>
      </c>
      <c r="B1225" s="18" t="str">
        <f>HYPERLINK("http://www.konamito.com/ficha/?id=1212"," Lien")</f>
        <v> Lien</v>
      </c>
      <c r="C1225" s="18">
        <v>2006</v>
      </c>
      <c r="D1225" s="18" t="s">
        <v>1586</v>
      </c>
      <c r="E1225" s="19" t="s">
        <v>9</v>
      </c>
      <c r="F1225" s="19" t="s">
        <v>48</v>
      </c>
      <c r="G1225" s="18" t="s">
        <v>11</v>
      </c>
    </row>
    <row r="1226" spans="1:7" ht="12.75">
      <c r="A1226" s="17" t="s">
        <v>1587</v>
      </c>
      <c r="B1226" s="18" t="str">
        <f>HYPERLINK("http://www.tni.nl/products/pointless-platform.html"," Lien")</f>
        <v> Lien</v>
      </c>
      <c r="C1226" s="18">
        <v>2006</v>
      </c>
      <c r="D1226" s="18" t="s">
        <v>1323</v>
      </c>
      <c r="E1226" s="19" t="s">
        <v>9</v>
      </c>
      <c r="F1226" s="19" t="s">
        <v>21</v>
      </c>
      <c r="G1226" s="18" t="s">
        <v>11</v>
      </c>
    </row>
    <row r="1227" spans="1:7" ht="12.75">
      <c r="A1227" s="17" t="s">
        <v>1588</v>
      </c>
      <c r="B1227" s="18" t="str">
        <f>HYPERLINK("http://www.tni.nl/products/pointless-shooting.html"," Lien")</f>
        <v> Lien</v>
      </c>
      <c r="C1227" s="18">
        <v>2006</v>
      </c>
      <c r="D1227" s="18" t="s">
        <v>1323</v>
      </c>
      <c r="E1227" s="19" t="s">
        <v>24</v>
      </c>
      <c r="F1227" s="19" t="s">
        <v>21</v>
      </c>
      <c r="G1227" s="18" t="s">
        <v>11</v>
      </c>
    </row>
    <row r="1228" spans="1:7" ht="24.75">
      <c r="A1228" s="132" t="s">
        <v>1589</v>
      </c>
      <c r="B1228" s="18" t="str">
        <f>HYPERLINK("http://www.generation-msx.nl/msxdb/softwareinfo/851"," Lien")</f>
        <v> Lien</v>
      </c>
      <c r="C1228" s="18">
        <v>1986</v>
      </c>
      <c r="D1228" s="18" t="s">
        <v>1590</v>
      </c>
      <c r="E1228" s="19" t="s">
        <v>251</v>
      </c>
      <c r="F1228" s="19" t="s">
        <v>21</v>
      </c>
      <c r="G1228" s="18" t="s">
        <v>11</v>
      </c>
    </row>
    <row r="1229" spans="1:7" ht="12.75">
      <c r="A1229" s="17" t="s">
        <v>1591</v>
      </c>
      <c r="B1229" s="128"/>
      <c r="C1229" s="128" t="s">
        <v>102</v>
      </c>
      <c r="D1229" s="128" t="s">
        <v>102</v>
      </c>
      <c r="E1229" s="129" t="s">
        <v>40</v>
      </c>
      <c r="F1229" s="129" t="s">
        <v>102</v>
      </c>
      <c r="G1229" s="128" t="s">
        <v>11</v>
      </c>
    </row>
    <row r="1230" spans="1:7" ht="12.75">
      <c r="A1230" s="17" t="s">
        <v>1592</v>
      </c>
      <c r="B1230" s="18" t="str">
        <f>HYPERLINK("http://www.konamito.com/ficha/?id=2812"," Lien")</f>
        <v> Lien</v>
      </c>
      <c r="C1230" s="128">
        <v>1985</v>
      </c>
      <c r="D1230" s="128" t="s">
        <v>1593</v>
      </c>
      <c r="E1230" s="129" t="s">
        <v>40</v>
      </c>
      <c r="F1230" s="129" t="s">
        <v>102</v>
      </c>
      <c r="G1230" s="128" t="s">
        <v>11</v>
      </c>
    </row>
    <row r="1231" spans="1:7" ht="12.75">
      <c r="A1231" s="36" t="s">
        <v>1594</v>
      </c>
      <c r="B1231" s="13" t="str">
        <f>HYPERLINK("http://www.generation-msx.nl/msxdb/softwareinfo/317"," Lien")</f>
        <v> Lien</v>
      </c>
      <c r="C1231" s="86">
        <v>1984</v>
      </c>
      <c r="D1231" s="86" t="s">
        <v>932</v>
      </c>
      <c r="E1231" s="87" t="s">
        <v>24</v>
      </c>
      <c r="F1231" s="87" t="s">
        <v>10</v>
      </c>
      <c r="G1231" s="86" t="s">
        <v>18</v>
      </c>
    </row>
    <row r="1232" spans="1:7" ht="12.75">
      <c r="A1232" s="17" t="s">
        <v>1595</v>
      </c>
      <c r="B1232" s="18"/>
      <c r="C1232" s="18">
        <v>1986</v>
      </c>
      <c r="D1232" s="18" t="s">
        <v>102</v>
      </c>
      <c r="E1232" s="19" t="s">
        <v>55</v>
      </c>
      <c r="F1232" s="19" t="s">
        <v>102</v>
      </c>
      <c r="G1232" s="18" t="s">
        <v>11</v>
      </c>
    </row>
    <row r="1233" spans="1:7" ht="12.75">
      <c r="A1233" s="17" t="s">
        <v>1596</v>
      </c>
      <c r="B1233" s="18" t="str">
        <f>HYPERLINK("http://www.generation-msx.nl/msxdb/softwareinfo/2260"," Lien")</f>
        <v> Lien</v>
      </c>
      <c r="C1233" s="18">
        <v>1990</v>
      </c>
      <c r="D1233" s="18" t="s">
        <v>69</v>
      </c>
      <c r="E1233" s="19" t="s">
        <v>17</v>
      </c>
      <c r="F1233" s="19" t="s">
        <v>10</v>
      </c>
      <c r="G1233" s="18" t="s">
        <v>11</v>
      </c>
    </row>
    <row r="1234" spans="1:7" ht="12.75">
      <c r="A1234" s="17" t="s">
        <v>1597</v>
      </c>
      <c r="B1234" s="18" t="str">
        <f>HYPERLINK("http://www.generation-msx.nl/msxdb/softwareinfo/2837"," Lien")</f>
        <v> Lien</v>
      </c>
      <c r="C1234" s="18">
        <v>1986</v>
      </c>
      <c r="D1234" s="18" t="s">
        <v>466</v>
      </c>
      <c r="E1234" s="19" t="s">
        <v>9</v>
      </c>
      <c r="F1234" s="19" t="s">
        <v>27</v>
      </c>
      <c r="G1234" s="18" t="s">
        <v>11</v>
      </c>
    </row>
    <row r="1235" spans="1:7" ht="12.75">
      <c r="A1235" s="36" t="s">
        <v>1598</v>
      </c>
      <c r="B1235" s="13" t="str">
        <f>HYPERLINK("http://www.generation-msx.nl/msxdb/softwareinfo/2838"," Lien")</f>
        <v> Lien</v>
      </c>
      <c r="C1235" s="13">
        <v>1987</v>
      </c>
      <c r="D1235" s="13" t="s">
        <v>45</v>
      </c>
      <c r="E1235" s="14" t="s">
        <v>9</v>
      </c>
      <c r="F1235" s="14" t="s">
        <v>1599</v>
      </c>
      <c r="G1235" s="13" t="s">
        <v>18</v>
      </c>
    </row>
    <row r="1236" spans="1:7" ht="12.75">
      <c r="A1236" s="36" t="s">
        <v>1600</v>
      </c>
      <c r="B1236" s="13" t="str">
        <f>HYPERLINK("http://www.generation-msx.nl/msxdb/softwareinfo/853"," Lien")</f>
        <v> Lien</v>
      </c>
      <c r="C1236" s="13">
        <v>1985</v>
      </c>
      <c r="D1236" s="13" t="s">
        <v>128</v>
      </c>
      <c r="E1236" s="14" t="s">
        <v>9</v>
      </c>
      <c r="F1236" s="14" t="s">
        <v>21</v>
      </c>
      <c r="G1236" s="13" t="s">
        <v>18</v>
      </c>
    </row>
    <row r="1237" spans="1:7" ht="12.75">
      <c r="A1237" s="17" t="s">
        <v>1601</v>
      </c>
      <c r="B1237" s="18"/>
      <c r="C1237" s="18">
        <v>1986</v>
      </c>
      <c r="D1237" s="18" t="s">
        <v>769</v>
      </c>
      <c r="E1237" s="19" t="s">
        <v>9</v>
      </c>
      <c r="F1237" s="19" t="s">
        <v>102</v>
      </c>
      <c r="G1237" s="18" t="s">
        <v>11</v>
      </c>
    </row>
    <row r="1238" spans="1:7" ht="12.75">
      <c r="A1238" s="17" t="s">
        <v>1602</v>
      </c>
      <c r="B1238" s="18" t="str">
        <f>HYPERLINK("http://www.generation-msx.nl/msxdb/softwareinfo/2261"," Lien")</f>
        <v> Lien</v>
      </c>
      <c r="C1238" s="18">
        <v>1991</v>
      </c>
      <c r="D1238" s="18" t="s">
        <v>69</v>
      </c>
      <c r="E1238" s="19" t="s">
        <v>9</v>
      </c>
      <c r="F1238" s="19" t="s">
        <v>10</v>
      </c>
      <c r="G1238" s="18" t="s">
        <v>11</v>
      </c>
    </row>
    <row r="1239" spans="1:7" ht="12.75">
      <c r="A1239" s="17" t="s">
        <v>1603</v>
      </c>
      <c r="B1239" s="18"/>
      <c r="C1239" s="18" t="s">
        <v>102</v>
      </c>
      <c r="D1239" s="18" t="s">
        <v>102</v>
      </c>
      <c r="E1239" s="19" t="s">
        <v>307</v>
      </c>
      <c r="F1239" s="19" t="s">
        <v>102</v>
      </c>
      <c r="G1239" s="18" t="s">
        <v>11</v>
      </c>
    </row>
    <row r="1240" spans="1:7" ht="12.75">
      <c r="A1240" s="49" t="s">
        <v>1604</v>
      </c>
      <c r="B1240" s="13" t="str">
        <f>HYPERLINK("http://www.generation-msx.nl/msxdb/softwareinfo/322"," Lien")</f>
        <v> Lien</v>
      </c>
      <c r="C1240" s="13">
        <v>1984</v>
      </c>
      <c r="D1240" s="13" t="s">
        <v>81</v>
      </c>
      <c r="E1240" s="14" t="s">
        <v>9</v>
      </c>
      <c r="F1240" s="14" t="s">
        <v>21</v>
      </c>
      <c r="G1240" s="13" t="s">
        <v>18</v>
      </c>
    </row>
    <row r="1241" spans="1:7" ht="12.75">
      <c r="A1241" s="17" t="s">
        <v>1605</v>
      </c>
      <c r="B1241" s="18"/>
      <c r="C1241" s="18" t="s">
        <v>102</v>
      </c>
      <c r="D1241" s="18" t="s">
        <v>1606</v>
      </c>
      <c r="E1241" s="19" t="s">
        <v>9</v>
      </c>
      <c r="F1241" s="19" t="s">
        <v>102</v>
      </c>
      <c r="G1241" s="18" t="s">
        <v>11</v>
      </c>
    </row>
    <row r="1242" spans="1:7" ht="12.75">
      <c r="A1242" s="17" t="s">
        <v>1607</v>
      </c>
      <c r="B1242" s="18" t="str">
        <f>HYPERLINK("http://www.generation-msx.nl/msxdb/softwareinfo/2187"," Lien")</f>
        <v> Lien</v>
      </c>
      <c r="C1242" s="18">
        <v>1988</v>
      </c>
      <c r="D1242" s="18" t="s">
        <v>302</v>
      </c>
      <c r="E1242" s="19" t="s">
        <v>55</v>
      </c>
      <c r="F1242" s="19" t="s">
        <v>10</v>
      </c>
      <c r="G1242" s="18" t="s">
        <v>11</v>
      </c>
    </row>
    <row r="1243" spans="1:7" ht="12.75">
      <c r="A1243" s="17" t="s">
        <v>1608</v>
      </c>
      <c r="B1243" s="18" t="str">
        <f>HYPERLINK("http://www.generation-msx.nl/msxdb/softwareinfo/2350"," Lien")</f>
        <v> Lien</v>
      </c>
      <c r="C1243" s="18">
        <v>1990</v>
      </c>
      <c r="D1243" s="18" t="s">
        <v>96</v>
      </c>
      <c r="E1243" s="19" t="s">
        <v>9</v>
      </c>
      <c r="F1243" s="19" t="s">
        <v>10</v>
      </c>
      <c r="G1243" s="18" t="s">
        <v>11</v>
      </c>
    </row>
    <row r="1244" spans="1:7" ht="12.75">
      <c r="A1244" s="17" t="s">
        <v>1609</v>
      </c>
      <c r="B1244" s="18" t="str">
        <f>HYPERLINK("http://www.generation-msx.nl/msxdb/softwareinfo/2916"," Lien")</f>
        <v> Lien</v>
      </c>
      <c r="C1244" s="18">
        <v>1989</v>
      </c>
      <c r="D1244" s="18" t="s">
        <v>109</v>
      </c>
      <c r="E1244" s="19" t="s">
        <v>792</v>
      </c>
      <c r="F1244" s="19" t="s">
        <v>10</v>
      </c>
      <c r="G1244" s="18" t="s">
        <v>18</v>
      </c>
    </row>
    <row r="1245" spans="1:7" ht="12.75">
      <c r="A1245" s="17" t="s">
        <v>1610</v>
      </c>
      <c r="B1245" s="18" t="str">
        <f>HYPERLINK("http://www.generation-msx.nl/msxdb/softwareinfo/3294"," Lien")</f>
        <v> Lien</v>
      </c>
      <c r="C1245" s="18">
        <v>1985</v>
      </c>
      <c r="D1245" s="18" t="s">
        <v>286</v>
      </c>
      <c r="E1245" s="19" t="s">
        <v>67</v>
      </c>
      <c r="F1245" s="19" t="s">
        <v>10</v>
      </c>
      <c r="G1245" s="18" t="s">
        <v>11</v>
      </c>
    </row>
    <row r="1246" spans="1:7" ht="12.75">
      <c r="A1246" s="17" t="s">
        <v>1611</v>
      </c>
      <c r="B1246" s="18" t="str">
        <f>HYPERLINK("http://www.konamito.com/ficha/?id=1788"," Lien")</f>
        <v> Lien</v>
      </c>
      <c r="C1246" s="18">
        <v>1986</v>
      </c>
      <c r="D1246" s="18" t="s">
        <v>319</v>
      </c>
      <c r="E1246" s="19" t="s">
        <v>55</v>
      </c>
      <c r="F1246" s="19" t="s">
        <v>10</v>
      </c>
      <c r="G1246" s="18" t="s">
        <v>11</v>
      </c>
    </row>
    <row r="1247" spans="1:7" ht="12.75">
      <c r="A1247" s="132" t="s">
        <v>1612</v>
      </c>
      <c r="B1247" s="18" t="str">
        <f>HYPERLINK("http://www.generation-msx.nl/msxdb/softwareinfo/1812"," Lien")</f>
        <v> Lien</v>
      </c>
      <c r="C1247" s="18">
        <v>1986</v>
      </c>
      <c r="D1247" s="18" t="s">
        <v>1230</v>
      </c>
      <c r="E1247" s="19" t="s">
        <v>17</v>
      </c>
      <c r="F1247" s="19" t="s">
        <v>21</v>
      </c>
      <c r="G1247" s="18" t="s">
        <v>11</v>
      </c>
    </row>
    <row r="1248" spans="1:7" ht="12.75">
      <c r="A1248" s="132" t="s">
        <v>1613</v>
      </c>
      <c r="B1248" s="18"/>
      <c r="C1248" s="18" t="s">
        <v>102</v>
      </c>
      <c r="D1248" s="18" t="s">
        <v>102</v>
      </c>
      <c r="E1248" s="19" t="s">
        <v>17</v>
      </c>
      <c r="F1248" s="19" t="s">
        <v>102</v>
      </c>
      <c r="G1248" s="18" t="s">
        <v>11</v>
      </c>
    </row>
    <row r="1249" spans="1:7" ht="12.75">
      <c r="A1249" s="132" t="s">
        <v>1614</v>
      </c>
      <c r="B1249" s="18" t="str">
        <f>HYPERLINK("http://www.generation-msx.nl/msxdb/softwareinfo/846"," Lien")</f>
        <v> Lien</v>
      </c>
      <c r="C1249" s="18">
        <v>1985</v>
      </c>
      <c r="D1249" s="18" t="s">
        <v>1615</v>
      </c>
      <c r="E1249" s="19" t="s">
        <v>207</v>
      </c>
      <c r="F1249" s="19" t="s">
        <v>21</v>
      </c>
      <c r="G1249" s="18" t="s">
        <v>11</v>
      </c>
    </row>
    <row r="1250" spans="1:7" ht="12.75">
      <c r="A1250" s="17" t="s">
        <v>1616</v>
      </c>
      <c r="B1250" s="18" t="str">
        <f>HYPERLINK("http://www.generation-msx.nl/msxdb/softwareinfo/2688"," Lien")</f>
        <v> Lien</v>
      </c>
      <c r="C1250" s="18">
        <v>198</v>
      </c>
      <c r="D1250" s="18" t="s">
        <v>311</v>
      </c>
      <c r="E1250" s="19" t="s">
        <v>17</v>
      </c>
      <c r="F1250" s="19" t="s">
        <v>10</v>
      </c>
      <c r="G1250" s="18" t="s">
        <v>11</v>
      </c>
    </row>
    <row r="1251" spans="1:7" ht="12.75">
      <c r="A1251" s="17" t="s">
        <v>1617</v>
      </c>
      <c r="B1251" s="18"/>
      <c r="C1251" s="18">
        <v>1987</v>
      </c>
      <c r="D1251" s="18" t="s">
        <v>1325</v>
      </c>
      <c r="E1251" s="19" t="s">
        <v>55</v>
      </c>
      <c r="F1251" s="19" t="s">
        <v>102</v>
      </c>
      <c r="G1251" s="18" t="s">
        <v>11</v>
      </c>
    </row>
    <row r="1252" spans="1:7" ht="12.75">
      <c r="A1252" s="17" t="s">
        <v>1618</v>
      </c>
      <c r="B1252" s="18" t="str">
        <f>HYPERLINK("http://www.generation-msx.nl/msxdb/softwareinfo/300"," Lien")</f>
        <v> Lien</v>
      </c>
      <c r="C1252" s="18">
        <v>1984</v>
      </c>
      <c r="D1252" s="18" t="s">
        <v>128</v>
      </c>
      <c r="E1252" s="19" t="s">
        <v>9</v>
      </c>
      <c r="F1252" s="19" t="s">
        <v>10</v>
      </c>
      <c r="G1252" s="18" t="s">
        <v>11</v>
      </c>
    </row>
    <row r="1253" spans="1:7" ht="12.75">
      <c r="A1253" s="17" t="s">
        <v>1619</v>
      </c>
      <c r="B1253" s="18" t="str">
        <f>HYPERLINK("http://www.generation-msx.nl/msxdb/softwareinfo/632"," Lien")</f>
        <v> Lien</v>
      </c>
      <c r="C1253" s="18">
        <v>1985</v>
      </c>
      <c r="D1253" s="18" t="s">
        <v>128</v>
      </c>
      <c r="E1253" s="19" t="s">
        <v>9</v>
      </c>
      <c r="F1253" s="19" t="s">
        <v>10</v>
      </c>
      <c r="G1253" s="18" t="s">
        <v>11</v>
      </c>
    </row>
    <row r="1254" spans="1:7" ht="12.75">
      <c r="A1254" s="17" t="s">
        <v>1620</v>
      </c>
      <c r="B1254" s="18" t="str">
        <f>HYPERLINK("http://www.generation-msx.nl/msxdb/softwareinfo/3432"," Lien")</f>
        <v> Lien</v>
      </c>
      <c r="C1254" s="18">
        <v>1988</v>
      </c>
      <c r="D1254" s="18" t="s">
        <v>16</v>
      </c>
      <c r="E1254" s="19" t="s">
        <v>9</v>
      </c>
      <c r="F1254" s="19" t="s">
        <v>10</v>
      </c>
      <c r="G1254" s="18" t="s">
        <v>11</v>
      </c>
    </row>
    <row r="1255" spans="1:7" ht="12.75">
      <c r="A1255" s="17" t="s">
        <v>1621</v>
      </c>
      <c r="B1255" s="18" t="str">
        <f>HYPERLINK("http://www.generation-msx.nl/msxdb/softwareinfo/3394"," Lien")</f>
        <v> Lien</v>
      </c>
      <c r="C1255" s="18">
        <v>1984</v>
      </c>
      <c r="D1255" s="18" t="s">
        <v>1518</v>
      </c>
      <c r="E1255" s="19" t="s">
        <v>67</v>
      </c>
      <c r="F1255" s="19" t="s">
        <v>10</v>
      </c>
      <c r="G1255" s="18" t="s">
        <v>11</v>
      </c>
    </row>
    <row r="1256" spans="1:7" ht="12.75">
      <c r="A1256" s="17" t="s">
        <v>1622</v>
      </c>
      <c r="B1256" s="18" t="str">
        <f>HYPERLINK("http://www.generation-msx.nl/msxdb/softwareinfo/2808"," Lien")</f>
        <v> Lien</v>
      </c>
      <c r="C1256" s="18">
        <v>1984</v>
      </c>
      <c r="D1256" s="18" t="s">
        <v>123</v>
      </c>
      <c r="E1256" s="19" t="s">
        <v>9</v>
      </c>
      <c r="F1256" s="19" t="s">
        <v>10</v>
      </c>
      <c r="G1256" s="18" t="s">
        <v>11</v>
      </c>
    </row>
    <row r="1257" spans="1:7" ht="12.75">
      <c r="A1257" s="132" t="s">
        <v>1623</v>
      </c>
      <c r="B1257" s="18" t="str">
        <f>HYPERLINK("http://www.generation-msx.nl/msxdb/softwareinfo/826"," Lien")</f>
        <v> Lien</v>
      </c>
      <c r="C1257" s="18">
        <v>1986</v>
      </c>
      <c r="D1257" s="18" t="s">
        <v>346</v>
      </c>
      <c r="E1257" s="19" t="s">
        <v>9</v>
      </c>
      <c r="F1257" s="19" t="s">
        <v>21</v>
      </c>
      <c r="G1257" s="18" t="s">
        <v>11</v>
      </c>
    </row>
    <row r="1258" spans="1:7" ht="12.75">
      <c r="A1258" s="132" t="s">
        <v>1624</v>
      </c>
      <c r="B1258" s="18" t="str">
        <f>HYPERLINK("http://msxdev.msxblue.com/?page_id=330"," Lien")</f>
        <v> Lien</v>
      </c>
      <c r="C1258" s="18">
        <v>2009</v>
      </c>
      <c r="D1258" s="18" t="s">
        <v>1625</v>
      </c>
      <c r="E1258" s="19" t="s">
        <v>9</v>
      </c>
      <c r="F1258" s="19" t="s">
        <v>21</v>
      </c>
      <c r="G1258" s="18" t="s">
        <v>11</v>
      </c>
    </row>
    <row r="1259" spans="1:7" ht="12.75">
      <c r="A1259" s="17" t="s">
        <v>1626</v>
      </c>
      <c r="B1259" s="18"/>
      <c r="C1259" s="18">
        <v>2004</v>
      </c>
      <c r="D1259" s="18" t="s">
        <v>456</v>
      </c>
      <c r="E1259" s="19" t="s">
        <v>9</v>
      </c>
      <c r="F1259" s="19" t="s">
        <v>102</v>
      </c>
      <c r="G1259" s="18" t="s">
        <v>11</v>
      </c>
    </row>
    <row r="1260" spans="1:7" ht="12.75">
      <c r="A1260" s="17" t="s">
        <v>1627</v>
      </c>
      <c r="B1260" s="18" t="str">
        <f>HYPERLINK("http://www.generation-msx.nl/msxdb/softwareinfo/64"," Lien")</f>
        <v> Lien</v>
      </c>
      <c r="C1260" s="18">
        <v>1983</v>
      </c>
      <c r="D1260" s="18" t="s">
        <v>29</v>
      </c>
      <c r="E1260" s="19" t="s">
        <v>9</v>
      </c>
      <c r="F1260" s="19" t="s">
        <v>27</v>
      </c>
      <c r="G1260" s="18" t="s">
        <v>11</v>
      </c>
    </row>
    <row r="1261" spans="1:7" ht="12.75">
      <c r="A1261" s="36" t="s">
        <v>1628</v>
      </c>
      <c r="B1261" s="13" t="str">
        <f>HYPERLINK("http://www.generation-msx.nl/msxdb/softwareinfo/1003"," Lien")</f>
        <v> Lien</v>
      </c>
      <c r="C1261" s="13">
        <v>1986</v>
      </c>
      <c r="D1261" s="13" t="s">
        <v>366</v>
      </c>
      <c r="E1261" s="14" t="s">
        <v>9</v>
      </c>
      <c r="F1261" s="14" t="s">
        <v>27</v>
      </c>
      <c r="G1261" s="13" t="s">
        <v>18</v>
      </c>
    </row>
    <row r="1262" spans="1:7" ht="12.75">
      <c r="A1262" s="36" t="s">
        <v>1629</v>
      </c>
      <c r="B1262" s="13" t="str">
        <f>HYPERLINK("http://www.generation-msx.nl/msxdb/softwareinfo/739"," Lien")</f>
        <v> Lien</v>
      </c>
      <c r="C1262" s="13">
        <v>1986</v>
      </c>
      <c r="D1262" s="13" t="s">
        <v>62</v>
      </c>
      <c r="E1262" s="14" t="s">
        <v>307</v>
      </c>
      <c r="F1262" s="14" t="s">
        <v>21</v>
      </c>
      <c r="G1262" s="13" t="s">
        <v>18</v>
      </c>
    </row>
    <row r="1263" spans="1:7" ht="12.75">
      <c r="A1263" s="17" t="s">
        <v>1630</v>
      </c>
      <c r="B1263" s="18" t="str">
        <f>HYPERLINK("http://www.generation-msx.nl/msxdb/softwareinfo/2984"," Lien")</f>
        <v> Lien</v>
      </c>
      <c r="C1263" s="18">
        <v>1986</v>
      </c>
      <c r="D1263" s="18" t="s">
        <v>195</v>
      </c>
      <c r="E1263" s="19" t="s">
        <v>24</v>
      </c>
      <c r="F1263" s="19" t="s">
        <v>10</v>
      </c>
      <c r="G1263" s="18" t="s">
        <v>11</v>
      </c>
    </row>
    <row r="1264" spans="1:7" ht="12.75">
      <c r="A1264" s="36" t="s">
        <v>1631</v>
      </c>
      <c r="B1264" s="13" t="str">
        <f>HYPERLINK("http://www.generation-msx.nl/msxdb/softwareinfo/444"," Lien")</f>
        <v> Lien</v>
      </c>
      <c r="C1264" s="13">
        <v>1984</v>
      </c>
      <c r="D1264" s="13" t="s">
        <v>23</v>
      </c>
      <c r="E1264" s="14" t="s">
        <v>17</v>
      </c>
      <c r="F1264" s="14" t="s">
        <v>21</v>
      </c>
      <c r="G1264" s="13" t="s">
        <v>18</v>
      </c>
    </row>
    <row r="1265" spans="1:7" ht="12.75">
      <c r="A1265" s="36" t="s">
        <v>1632</v>
      </c>
      <c r="B1265" s="13" t="str">
        <f>HYPERLINK("http://www.generation-msx.nl/msxdb/softwareinfo/445"," Lien")</f>
        <v> Lien</v>
      </c>
      <c r="C1265" s="13">
        <v>1985</v>
      </c>
      <c r="D1265" s="13" t="s">
        <v>23</v>
      </c>
      <c r="E1265" s="14" t="s">
        <v>17</v>
      </c>
      <c r="F1265" s="14" t="s">
        <v>10</v>
      </c>
      <c r="G1265" s="13" t="s">
        <v>18</v>
      </c>
    </row>
    <row r="1266" spans="1:7" ht="12.75">
      <c r="A1266" s="17" t="s">
        <v>1633</v>
      </c>
      <c r="B1266" s="18"/>
      <c r="C1266" s="18" t="s">
        <v>102</v>
      </c>
      <c r="D1266" s="18" t="s">
        <v>102</v>
      </c>
      <c r="E1266" s="19" t="s">
        <v>9</v>
      </c>
      <c r="F1266" s="19" t="s">
        <v>102</v>
      </c>
      <c r="G1266" s="18" t="s">
        <v>11</v>
      </c>
    </row>
    <row r="1267" spans="1:7" ht="12.75">
      <c r="A1267" s="17" t="s">
        <v>1634</v>
      </c>
      <c r="B1267" s="18" t="str">
        <f>HYPERLINK("http://www.generation-msx.nl/msxdb/softwareinfo/2311"," Lien")</f>
        <v> Lien</v>
      </c>
      <c r="C1267" s="18">
        <v>1990</v>
      </c>
      <c r="D1267" s="18" t="s">
        <v>113</v>
      </c>
      <c r="E1267" s="19" t="s">
        <v>9</v>
      </c>
      <c r="F1267" s="19" t="s">
        <v>10</v>
      </c>
      <c r="G1267" s="18" t="s">
        <v>11</v>
      </c>
    </row>
    <row r="1268" spans="1:7" ht="12.75">
      <c r="A1268" s="17" t="s">
        <v>1635</v>
      </c>
      <c r="B1268" s="18" t="str">
        <f>HYPERLINK("http://www.generation-msx.nl/msxdb/softwareinfo/2182"," Lien")</f>
        <v> Lien</v>
      </c>
      <c r="C1268" s="18">
        <v>1988</v>
      </c>
      <c r="D1268" s="18" t="s">
        <v>634</v>
      </c>
      <c r="E1268" s="19" t="s">
        <v>9</v>
      </c>
      <c r="F1268" s="19" t="s">
        <v>10</v>
      </c>
      <c r="G1268" s="18" t="s">
        <v>11</v>
      </c>
    </row>
    <row r="1269" spans="1:7" ht="12.75">
      <c r="A1269" s="144" t="s">
        <v>1636</v>
      </c>
      <c r="B1269" s="145"/>
      <c r="C1269" s="145" t="s">
        <v>102</v>
      </c>
      <c r="D1269" s="145" t="s">
        <v>1637</v>
      </c>
      <c r="E1269" s="146" t="s">
        <v>9</v>
      </c>
      <c r="F1269" s="146" t="s">
        <v>102</v>
      </c>
      <c r="G1269" s="145" t="s">
        <v>18</v>
      </c>
    </row>
    <row r="1270" spans="1:7" ht="12.75">
      <c r="A1270" s="17" t="s">
        <v>1638</v>
      </c>
      <c r="B1270" s="18" t="str">
        <f>HYPERLINK("http://www.generation-msx.nl/msxdb/softwareinfo/3198"," Lien")</f>
        <v> Lien</v>
      </c>
      <c r="C1270" s="18">
        <v>1985</v>
      </c>
      <c r="D1270" s="18" t="s">
        <v>870</v>
      </c>
      <c r="E1270" s="19" t="s">
        <v>307</v>
      </c>
      <c r="F1270" s="19" t="s">
        <v>102</v>
      </c>
      <c r="G1270" s="18" t="s">
        <v>11</v>
      </c>
    </row>
    <row r="1271" spans="1:7" ht="12.75">
      <c r="A1271" s="36" t="s">
        <v>1639</v>
      </c>
      <c r="B1271" s="13" t="str">
        <f>HYPERLINK("http://www.generation-msx.nl/msxdb/softwareinfo/599"," Lien")</f>
        <v> Lien</v>
      </c>
      <c r="C1271" s="13">
        <v>1985</v>
      </c>
      <c r="D1271" s="13" t="s">
        <v>479</v>
      </c>
      <c r="E1271" s="14" t="s">
        <v>24</v>
      </c>
      <c r="F1271" s="14" t="s">
        <v>21</v>
      </c>
      <c r="G1271" s="13" t="s">
        <v>18</v>
      </c>
    </row>
    <row r="1272" spans="1:7" ht="12.75">
      <c r="A1272" s="36" t="s">
        <v>1640</v>
      </c>
      <c r="B1272" s="13" t="str">
        <f>HYPERLINK("http://www.generation-msx.nl/msxdb/softwareinfo/2923"," Lien")</f>
        <v> Lien</v>
      </c>
      <c r="C1272" s="13">
        <v>1983</v>
      </c>
      <c r="D1272" s="13" t="s">
        <v>26</v>
      </c>
      <c r="E1272" s="14" t="s">
        <v>307</v>
      </c>
      <c r="F1272" s="14" t="s">
        <v>21</v>
      </c>
      <c r="G1272" s="13" t="s">
        <v>18</v>
      </c>
    </row>
    <row r="1273" spans="1:7" ht="12.75">
      <c r="A1273" s="36" t="s">
        <v>1641</v>
      </c>
      <c r="B1273" s="13" t="str">
        <f>HYPERLINK("http://www.generation-msx.nl/msxdb/softwareinfo/355"," Lien")</f>
        <v> Lien</v>
      </c>
      <c r="C1273" s="13">
        <v>1984</v>
      </c>
      <c r="D1273" s="13" t="s">
        <v>344</v>
      </c>
      <c r="E1273" s="14" t="s">
        <v>9</v>
      </c>
      <c r="F1273" s="14" t="s">
        <v>27</v>
      </c>
      <c r="G1273" s="13" t="s">
        <v>18</v>
      </c>
    </row>
    <row r="1274" spans="1:7" ht="12.75">
      <c r="A1274" s="17" t="s">
        <v>1642</v>
      </c>
      <c r="B1274" s="18" t="str">
        <f>HYPERLINK("http://www.konamito.com/ficha/?id=2685"," Lien")</f>
        <v> Lien</v>
      </c>
      <c r="C1274" s="18">
        <v>1986</v>
      </c>
      <c r="D1274" s="18" t="s">
        <v>1643</v>
      </c>
      <c r="E1274" s="19" t="s">
        <v>9</v>
      </c>
      <c r="F1274" s="19" t="s">
        <v>102</v>
      </c>
      <c r="G1274" s="18" t="s">
        <v>11</v>
      </c>
    </row>
    <row r="1275" spans="1:7" ht="12.75">
      <c r="A1275" s="36" t="s">
        <v>1644</v>
      </c>
      <c r="B1275" s="13" t="str">
        <f>HYPERLINK("http://www.generation-msx.nl/msxdb/softwareinfo/676"," Lien")</f>
        <v> Lien</v>
      </c>
      <c r="C1275" s="13">
        <v>1985</v>
      </c>
      <c r="D1275" s="13" t="s">
        <v>1645</v>
      </c>
      <c r="E1275" s="14" t="s">
        <v>9</v>
      </c>
      <c r="F1275" s="14" t="s">
        <v>21</v>
      </c>
      <c r="G1275" s="13" t="s">
        <v>18</v>
      </c>
    </row>
    <row r="1276" spans="1:7" ht="12.75">
      <c r="A1276" s="17" t="s">
        <v>1646</v>
      </c>
      <c r="B1276" s="18" t="str">
        <f>HYPERLINK("http://www.generation-msx.nl/msxdb/softwareinfo/2751"," Lien")</f>
        <v> Lien</v>
      </c>
      <c r="C1276" s="18">
        <v>1988</v>
      </c>
      <c r="D1276" s="18" t="s">
        <v>243</v>
      </c>
      <c r="E1276" s="19" t="s">
        <v>9</v>
      </c>
      <c r="F1276" s="19" t="s">
        <v>10</v>
      </c>
      <c r="G1276" s="18" t="s">
        <v>11</v>
      </c>
    </row>
    <row r="1277" spans="1:7" ht="12.75">
      <c r="A1277" s="17" t="s">
        <v>1647</v>
      </c>
      <c r="B1277" s="18" t="str">
        <f>HYPERLINK("http://www.generation-msx.nl/msxdb/softwareinfo/2174"," Lien")</f>
        <v> Lien</v>
      </c>
      <c r="C1277" s="18">
        <v>1988</v>
      </c>
      <c r="D1277" s="18" t="s">
        <v>302</v>
      </c>
      <c r="E1277" s="19" t="s">
        <v>58</v>
      </c>
      <c r="F1277" s="19" t="s">
        <v>10</v>
      </c>
      <c r="G1277" s="18" t="s">
        <v>11</v>
      </c>
    </row>
    <row r="1278" spans="1:7" ht="12.75">
      <c r="A1278" s="36" t="s">
        <v>1648</v>
      </c>
      <c r="B1278" s="13" t="str">
        <f>HYPERLINK("http://www.generation-msx.nl/msxdb/softwareinfo/2787"," Lien")</f>
        <v> Lien</v>
      </c>
      <c r="C1278" s="13">
        <v>1987</v>
      </c>
      <c r="D1278" s="13" t="s">
        <v>135</v>
      </c>
      <c r="E1278" s="14" t="s">
        <v>9</v>
      </c>
      <c r="F1278" s="14" t="s">
        <v>10</v>
      </c>
      <c r="G1278" s="13" t="s">
        <v>18</v>
      </c>
    </row>
    <row r="1279" spans="1:7" ht="12.75">
      <c r="A1279" s="17" t="s">
        <v>1649</v>
      </c>
      <c r="B1279" s="18" t="str">
        <f>HYPERLINK("http://www.generation-msx.nl/msxdb/softwareinfo/2283"," Lien")</f>
        <v> Lien</v>
      </c>
      <c r="C1279" s="18">
        <v>1989</v>
      </c>
      <c r="D1279" s="18" t="s">
        <v>91</v>
      </c>
      <c r="E1279" s="19" t="s">
        <v>24</v>
      </c>
      <c r="F1279" s="19" t="s">
        <v>10</v>
      </c>
      <c r="G1279" s="18" t="s">
        <v>11</v>
      </c>
    </row>
    <row r="1280" spans="1:7" ht="12.75">
      <c r="A1280" s="132" t="s">
        <v>1650</v>
      </c>
      <c r="B1280" s="18" t="str">
        <f>HYPERLINK("http://www.generation-msx.nl/msxdb/softwareinfo/86"," Lien")</f>
        <v> Lien</v>
      </c>
      <c r="C1280" s="18">
        <v>1983</v>
      </c>
      <c r="D1280" s="18" t="s">
        <v>1651</v>
      </c>
      <c r="E1280" s="19" t="s">
        <v>17</v>
      </c>
      <c r="F1280" s="19" t="s">
        <v>21</v>
      </c>
      <c r="G1280" s="18" t="s">
        <v>11</v>
      </c>
    </row>
    <row r="1281" spans="1:7" ht="12.75">
      <c r="A1281" s="36" t="s">
        <v>1652</v>
      </c>
      <c r="B1281" s="13" t="str">
        <f>HYPERLINK("http://www.generation-msx.nl/msxdb/softwareinfo/682"," Lien")</f>
        <v> Lien</v>
      </c>
      <c r="C1281" s="13">
        <v>1985</v>
      </c>
      <c r="D1281" s="13" t="s">
        <v>1653</v>
      </c>
      <c r="E1281" s="14" t="s">
        <v>24</v>
      </c>
      <c r="F1281" s="14" t="s">
        <v>21</v>
      </c>
      <c r="G1281" s="13" t="s">
        <v>18</v>
      </c>
    </row>
    <row r="1282" spans="1:7" ht="12.75">
      <c r="A1282" s="36" t="s">
        <v>1654</v>
      </c>
      <c r="B1282" s="13" t="str">
        <f>HYPERLINK("http://www.generation-msx.nl/msxdb/softwareinfo/2975"," Lien")</f>
        <v> Lien</v>
      </c>
      <c r="C1282" s="13">
        <v>1987</v>
      </c>
      <c r="D1282" s="13" t="s">
        <v>666</v>
      </c>
      <c r="E1282" s="14" t="s">
        <v>83</v>
      </c>
      <c r="F1282" s="14" t="s">
        <v>10</v>
      </c>
      <c r="G1282" s="13" t="s">
        <v>18</v>
      </c>
    </row>
    <row r="1283" spans="1:7" ht="12.75">
      <c r="A1283" s="132" t="s">
        <v>1655</v>
      </c>
      <c r="B1283" s="18" t="str">
        <f>HYPERLINK("http://www.generation-msx.nl/msxdb/softwareinfo/1041"," Lien")</f>
        <v> Lien</v>
      </c>
      <c r="C1283" s="18">
        <v>1986</v>
      </c>
      <c r="D1283" s="18" t="s">
        <v>1241</v>
      </c>
      <c r="E1283" s="19" t="s">
        <v>291</v>
      </c>
      <c r="F1283" s="19" t="s">
        <v>893</v>
      </c>
      <c r="G1283" s="18" t="s">
        <v>11</v>
      </c>
    </row>
    <row r="1284" spans="1:7" ht="12.75">
      <c r="A1284" s="132" t="s">
        <v>1656</v>
      </c>
      <c r="B1284" s="18" t="str">
        <f>HYPERLINK("http://www.generation-msx.nl/msxdb/softwareinfo/683"," Lien")</f>
        <v> Lien</v>
      </c>
      <c r="C1284" s="18">
        <v>1985</v>
      </c>
      <c r="D1284" s="18" t="s">
        <v>128</v>
      </c>
      <c r="E1284" s="19" t="s">
        <v>207</v>
      </c>
      <c r="F1284" s="19" t="s">
        <v>21</v>
      </c>
      <c r="G1284" s="18" t="s">
        <v>11</v>
      </c>
    </row>
    <row r="1285" spans="1:7" ht="12.75">
      <c r="A1285" s="17" t="s">
        <v>1657</v>
      </c>
      <c r="B1285" s="18" t="str">
        <f>HYPERLINK("http://www.generation-msx.nl/msxdb/softwareinfo/2144"," Lien")</f>
        <v> Lien</v>
      </c>
      <c r="C1285" s="18">
        <v>1989</v>
      </c>
      <c r="D1285" s="18" t="s">
        <v>73</v>
      </c>
      <c r="E1285" s="19" t="s">
        <v>9</v>
      </c>
      <c r="F1285" s="19" t="s">
        <v>10</v>
      </c>
      <c r="G1285" s="18" t="s">
        <v>11</v>
      </c>
    </row>
    <row r="1286" spans="1:7" ht="12.75">
      <c r="A1286" s="17" t="s">
        <v>1658</v>
      </c>
      <c r="B1286" s="18" t="str">
        <f>HYPERLINK("http://www.generation-msx.nl/msxdb/softwareinfo/2262"," Lien")</f>
        <v> Lien</v>
      </c>
      <c r="C1286" s="18">
        <v>1990</v>
      </c>
      <c r="D1286" s="18" t="s">
        <v>69</v>
      </c>
      <c r="E1286" s="19" t="s">
        <v>9</v>
      </c>
      <c r="F1286" s="19" t="s">
        <v>10</v>
      </c>
      <c r="G1286" s="18" t="s">
        <v>11</v>
      </c>
    </row>
    <row r="1287" spans="1:7" s="147" customFormat="1" ht="12.75">
      <c r="A1287" s="17" t="s">
        <v>1659</v>
      </c>
      <c r="B1287" s="18" t="str">
        <f>HYPERLINK("http://msxdev.msxblue.com/?page_id=366"," Lien")</f>
        <v> Lien</v>
      </c>
      <c r="C1287" s="18">
        <v>2009</v>
      </c>
      <c r="D1287" s="18" t="s">
        <v>1660</v>
      </c>
      <c r="E1287" s="19" t="s">
        <v>24</v>
      </c>
      <c r="F1287" s="19" t="s">
        <v>21</v>
      </c>
      <c r="G1287" s="18" t="s">
        <v>11</v>
      </c>
    </row>
    <row r="1288" spans="1:7" ht="12.75">
      <c r="A1288" s="17" t="s">
        <v>1661</v>
      </c>
      <c r="B1288" s="18"/>
      <c r="C1288" s="18" t="s">
        <v>102</v>
      </c>
      <c r="D1288" s="18" t="s">
        <v>1662</v>
      </c>
      <c r="E1288" s="19" t="s">
        <v>24</v>
      </c>
      <c r="F1288" s="19" t="s">
        <v>102</v>
      </c>
      <c r="G1288" s="18" t="s">
        <v>11</v>
      </c>
    </row>
    <row r="1289" spans="1:7" ht="12.75">
      <c r="A1289" s="17" t="s">
        <v>1663</v>
      </c>
      <c r="B1289" s="18"/>
      <c r="C1289" s="18">
        <v>1986</v>
      </c>
      <c r="D1289" s="18" t="s">
        <v>1664</v>
      </c>
      <c r="E1289" s="19" t="s">
        <v>207</v>
      </c>
      <c r="F1289" s="19" t="s">
        <v>102</v>
      </c>
      <c r="G1289" s="18" t="s">
        <v>11</v>
      </c>
    </row>
    <row r="1290" spans="1:7" ht="12.75">
      <c r="A1290" s="17" t="s">
        <v>1665</v>
      </c>
      <c r="B1290" s="18" t="str">
        <f>HYPERLINK("http://www.generation-msx.nl/msxdb/softwareinfo/2233"," Lien")</f>
        <v> Lien</v>
      </c>
      <c r="C1290" s="18">
        <v>1987</v>
      </c>
      <c r="D1290" s="18" t="s">
        <v>1666</v>
      </c>
      <c r="E1290" s="19" t="s">
        <v>9</v>
      </c>
      <c r="F1290" s="19" t="s">
        <v>10</v>
      </c>
      <c r="G1290" s="18" t="s">
        <v>11</v>
      </c>
    </row>
    <row r="1291" spans="1:7" ht="12.75">
      <c r="A1291" s="36" t="s">
        <v>1667</v>
      </c>
      <c r="B1291" s="13" t="str">
        <f>HYPERLINK("http://www.generation-msx.nl/msxdb/softwareinfo/353"," Lien")</f>
        <v> Lien</v>
      </c>
      <c r="C1291" s="13">
        <v>1983</v>
      </c>
      <c r="D1291" s="13" t="s">
        <v>23</v>
      </c>
      <c r="E1291" s="14" t="s">
        <v>51</v>
      </c>
      <c r="F1291" s="14" t="s">
        <v>21</v>
      </c>
      <c r="G1291" s="13" t="s">
        <v>18</v>
      </c>
    </row>
    <row r="1292" spans="1:7" ht="12.75">
      <c r="A1292" s="17" t="s">
        <v>1668</v>
      </c>
      <c r="B1292" s="18" t="str">
        <f>HYPERLINK("http://www.generation-msx.nl/msxdb/softwareinfo/3254"," Lien")</f>
        <v> Lien</v>
      </c>
      <c r="C1292" s="18">
        <v>1986</v>
      </c>
      <c r="D1292" s="18" t="s">
        <v>167</v>
      </c>
      <c r="E1292" s="19" t="s">
        <v>43</v>
      </c>
      <c r="F1292" s="19" t="s">
        <v>10</v>
      </c>
      <c r="G1292" s="18" t="s">
        <v>11</v>
      </c>
    </row>
    <row r="1293" spans="1:7" ht="12.75">
      <c r="A1293" s="36" t="s">
        <v>1669</v>
      </c>
      <c r="B1293" s="13" t="str">
        <f>HYPERLINK("http://www.generation-msx.nl/msxdb/softwareinfo/356"," Lien")</f>
        <v> Lien</v>
      </c>
      <c r="C1293" s="13">
        <v>1984</v>
      </c>
      <c r="D1293" s="13" t="s">
        <v>109</v>
      </c>
      <c r="E1293" s="14" t="s">
        <v>24</v>
      </c>
      <c r="F1293" s="14" t="s">
        <v>27</v>
      </c>
      <c r="G1293" s="13" t="s">
        <v>18</v>
      </c>
    </row>
    <row r="1294" spans="1:7" ht="12.75">
      <c r="A1294" s="17" t="s">
        <v>1670</v>
      </c>
      <c r="B1294" s="18" t="str">
        <f>HYPERLINK("http://msxdev.msxblue.com/?page_id=275"," Lien")</f>
        <v> Lien</v>
      </c>
      <c r="C1294" s="18">
        <v>2006</v>
      </c>
      <c r="D1294" s="18" t="s">
        <v>1671</v>
      </c>
      <c r="E1294" s="19" t="s">
        <v>51</v>
      </c>
      <c r="F1294" s="19" t="s">
        <v>21</v>
      </c>
      <c r="G1294" s="18" t="s">
        <v>11</v>
      </c>
    </row>
    <row r="1295" spans="1:7" ht="12.75">
      <c r="A1295" s="36" t="s">
        <v>1672</v>
      </c>
      <c r="B1295" s="13" t="str">
        <f>HYPERLINK("http://www.generation-msx.nl/msxdb/softwareinfo/684"," Lien")</f>
        <v> Lien</v>
      </c>
      <c r="C1295" s="13">
        <v>1985</v>
      </c>
      <c r="D1295" s="13" t="s">
        <v>62</v>
      </c>
      <c r="E1295" s="14" t="s">
        <v>9</v>
      </c>
      <c r="F1295" s="14" t="s">
        <v>21</v>
      </c>
      <c r="G1295" s="13" t="s">
        <v>18</v>
      </c>
    </row>
    <row r="1296" spans="1:7" ht="12.75">
      <c r="A1296" s="17" t="s">
        <v>1673</v>
      </c>
      <c r="B1296" s="18" t="str">
        <f>HYPERLINK("http://www.generation-msx.nl/msxdb/softwareinfo/2741"," Lien")</f>
        <v> Lien</v>
      </c>
      <c r="C1296" s="18">
        <v>1988</v>
      </c>
      <c r="D1296" s="18" t="s">
        <v>501</v>
      </c>
      <c r="E1296" s="19" t="s">
        <v>9</v>
      </c>
      <c r="F1296" s="19" t="s">
        <v>10</v>
      </c>
      <c r="G1296" s="18" t="s">
        <v>11</v>
      </c>
    </row>
    <row r="1297" spans="1:7" ht="12.75">
      <c r="A1297" s="17" t="s">
        <v>1674</v>
      </c>
      <c r="B1297" s="18" t="str">
        <f>HYPERLINK("http://www.generation-msx.nl/msxdb/softwareinfo/2752"," Lien")</f>
        <v> Lien</v>
      </c>
      <c r="C1297" s="18">
        <v>1988</v>
      </c>
      <c r="D1297" s="18" t="s">
        <v>243</v>
      </c>
      <c r="E1297" s="19" t="s">
        <v>9</v>
      </c>
      <c r="F1297" s="19" t="s">
        <v>10</v>
      </c>
      <c r="G1297" s="18" t="s">
        <v>11</v>
      </c>
    </row>
    <row r="1298" spans="1:7" ht="12.75">
      <c r="A1298" s="49" t="s">
        <v>1675</v>
      </c>
      <c r="B1298" s="13" t="str">
        <f>HYPERLINK("http://www.generation-msx.nl/msxdb/softwareinfo/2969"," Lien")</f>
        <v> Lien</v>
      </c>
      <c r="C1298" s="13">
        <v>1985</v>
      </c>
      <c r="D1298" s="13" t="s">
        <v>81</v>
      </c>
      <c r="E1298" s="14" t="s">
        <v>51</v>
      </c>
      <c r="F1298" s="14" t="s">
        <v>21</v>
      </c>
      <c r="G1298" s="13" t="s">
        <v>18</v>
      </c>
    </row>
    <row r="1299" spans="1:7" ht="12.75">
      <c r="A1299" s="17" t="s">
        <v>1676</v>
      </c>
      <c r="B1299" s="18" t="str">
        <f>HYPERLINK("http://www.generation-msx.nl/msxdb/softwareinfo/2930"," Lien")</f>
        <v> Lien</v>
      </c>
      <c r="C1299" s="18">
        <v>1986</v>
      </c>
      <c r="D1299" s="18" t="s">
        <v>466</v>
      </c>
      <c r="E1299" s="19" t="s">
        <v>24</v>
      </c>
      <c r="F1299" s="19" t="s">
        <v>48</v>
      </c>
      <c r="G1299" s="18" t="s">
        <v>11</v>
      </c>
    </row>
    <row r="1300" spans="1:7" ht="12.75">
      <c r="A1300" s="132" t="s">
        <v>1677</v>
      </c>
      <c r="B1300" s="18" t="str">
        <f>HYPERLINK("http://www.konamito.com/ficha/?id=2098"," Lien")</f>
        <v> Lien</v>
      </c>
      <c r="C1300" s="18">
        <v>1987</v>
      </c>
      <c r="D1300" s="18" t="s">
        <v>835</v>
      </c>
      <c r="E1300" s="19" t="s">
        <v>9</v>
      </c>
      <c r="F1300" s="19" t="s">
        <v>21</v>
      </c>
      <c r="G1300" s="18" t="s">
        <v>11</v>
      </c>
    </row>
    <row r="1301" spans="1:7" ht="12.75">
      <c r="A1301" s="17" t="s">
        <v>1678</v>
      </c>
      <c r="B1301" s="18" t="str">
        <f>HYPERLINK("http://www.generation-msx.nl/msxdb/softwareinfo/3188"," Lien")</f>
        <v> Lien</v>
      </c>
      <c r="C1301" s="18">
        <v>1987</v>
      </c>
      <c r="D1301" s="18" t="s">
        <v>45</v>
      </c>
      <c r="E1301" s="19" t="s">
        <v>9</v>
      </c>
      <c r="F1301" s="19" t="s">
        <v>178</v>
      </c>
      <c r="G1301" s="18" t="s">
        <v>11</v>
      </c>
    </row>
    <row r="1302" spans="1:7" ht="12.75">
      <c r="A1302" s="36" t="s">
        <v>1679</v>
      </c>
      <c r="B1302" s="13" t="str">
        <f>HYPERLINK("http://www.generation-msx.nl/msxdb/softwareinfo/687"," Lien")</f>
        <v> Lien</v>
      </c>
      <c r="C1302" s="13">
        <v>1985</v>
      </c>
      <c r="D1302" s="13" t="s">
        <v>109</v>
      </c>
      <c r="E1302" s="14" t="s">
        <v>307</v>
      </c>
      <c r="F1302" s="14" t="s">
        <v>21</v>
      </c>
      <c r="G1302" s="13" t="s">
        <v>18</v>
      </c>
    </row>
    <row r="1303" spans="1:7" ht="12.75">
      <c r="A1303" s="17" t="s">
        <v>1680</v>
      </c>
      <c r="B1303" s="18" t="str">
        <f>HYPERLINK("http://www.generation-msx.nl/msxdb/softwareinfo/2775"," Lien")</f>
        <v> Lien</v>
      </c>
      <c r="C1303" s="18">
        <v>1988</v>
      </c>
      <c r="D1303" s="18" t="s">
        <v>113</v>
      </c>
      <c r="E1303" s="19" t="s">
        <v>9</v>
      </c>
      <c r="F1303" s="19" t="s">
        <v>10</v>
      </c>
      <c r="G1303" s="18" t="s">
        <v>11</v>
      </c>
    </row>
    <row r="1304" spans="1:7" ht="12.75">
      <c r="A1304" s="17" t="s">
        <v>1681</v>
      </c>
      <c r="B1304" s="18" t="str">
        <f>HYPERLINK("http://www.generation-msx.nl/msxdb/softwareinfo/2841"," Lien")</f>
        <v> Lien</v>
      </c>
      <c r="C1304" s="18">
        <v>1986</v>
      </c>
      <c r="D1304" s="18" t="s">
        <v>32</v>
      </c>
      <c r="E1304" s="19" t="s">
        <v>9</v>
      </c>
      <c r="F1304" s="19" t="s">
        <v>27</v>
      </c>
      <c r="G1304" s="18" t="s">
        <v>11</v>
      </c>
    </row>
    <row r="1305" spans="1:7" ht="12.75">
      <c r="A1305" s="36" t="s">
        <v>1682</v>
      </c>
      <c r="B1305" s="13" t="str">
        <f>HYPERLINK("http://www.konamito.com/ficha/?id=2087"," Lien")</f>
        <v> Lien</v>
      </c>
      <c r="C1305" s="13">
        <v>2000</v>
      </c>
      <c r="D1305" s="13" t="s">
        <v>1683</v>
      </c>
      <c r="E1305" s="14" t="s">
        <v>307</v>
      </c>
      <c r="F1305" s="14" t="s">
        <v>102</v>
      </c>
      <c r="G1305" s="13" t="s">
        <v>18</v>
      </c>
    </row>
    <row r="1306" spans="1:7" ht="12.75">
      <c r="A1306" s="17" t="s">
        <v>1684</v>
      </c>
      <c r="B1306" s="18" t="str">
        <f>HYPERLINK("http://www.generation-msx.nl/msxdb/softwareinfo/2145"," Lien")</f>
        <v> Lien</v>
      </c>
      <c r="C1306" s="18">
        <v>1985</v>
      </c>
      <c r="D1306" s="18" t="s">
        <v>73</v>
      </c>
      <c r="E1306" s="19" t="s">
        <v>17</v>
      </c>
      <c r="F1306" s="19" t="s">
        <v>10</v>
      </c>
      <c r="G1306" s="18" t="s">
        <v>11</v>
      </c>
    </row>
    <row r="1307" spans="1:7" ht="12.75">
      <c r="A1307" s="17" t="s">
        <v>1685</v>
      </c>
      <c r="B1307" s="18" t="str">
        <f>HYPERLINK("http://www.generation-msx.nl/msxdb/softwareinfo/2070"," Lien")</f>
        <v> Lien</v>
      </c>
      <c r="C1307" s="18">
        <v>1985</v>
      </c>
      <c r="D1307" s="18" t="s">
        <v>286</v>
      </c>
      <c r="E1307" s="19" t="s">
        <v>9</v>
      </c>
      <c r="F1307" s="19" t="s">
        <v>27</v>
      </c>
      <c r="G1307" s="18" t="s">
        <v>11</v>
      </c>
    </row>
    <row r="1308" spans="1:7" ht="12.75">
      <c r="A1308" s="17" t="s">
        <v>1686</v>
      </c>
      <c r="B1308" s="18"/>
      <c r="C1308" s="18" t="s">
        <v>102</v>
      </c>
      <c r="D1308" s="18" t="s">
        <v>102</v>
      </c>
      <c r="E1308" s="19" t="s">
        <v>9</v>
      </c>
      <c r="F1308" s="19" t="s">
        <v>102</v>
      </c>
      <c r="G1308" s="18" t="s">
        <v>11</v>
      </c>
    </row>
    <row r="1309" spans="1:7" ht="12.75">
      <c r="A1309" s="36" t="s">
        <v>1687</v>
      </c>
      <c r="B1309" s="13" t="str">
        <f>HYPERLINK("http://www.generation-msx.nl/msxdb/softwareinfo/360"," Lien")</f>
        <v> Lien</v>
      </c>
      <c r="C1309" s="13">
        <v>1984</v>
      </c>
      <c r="D1309" s="13" t="s">
        <v>215</v>
      </c>
      <c r="E1309" s="14" t="s">
        <v>765</v>
      </c>
      <c r="F1309" s="14" t="s">
        <v>21</v>
      </c>
      <c r="G1309" s="13" t="s">
        <v>18</v>
      </c>
    </row>
    <row r="1310" spans="1:7" ht="12.75">
      <c r="A1310" s="17" t="s">
        <v>1688</v>
      </c>
      <c r="B1310" s="18" t="str">
        <f>HYPERLINK("http://www.generation-msx.nl/msxdb/softwareinfo/2195"," Lien")</f>
        <v> Lien</v>
      </c>
      <c r="C1310" s="18">
        <v>1986</v>
      </c>
      <c r="D1310" s="18" t="s">
        <v>319</v>
      </c>
      <c r="E1310" s="19" t="s">
        <v>323</v>
      </c>
      <c r="F1310" s="19" t="s">
        <v>10</v>
      </c>
      <c r="G1310" s="18" t="s">
        <v>11</v>
      </c>
    </row>
    <row r="1311" spans="1:7" ht="12.75">
      <c r="A1311" s="36" t="s">
        <v>1689</v>
      </c>
      <c r="B1311" s="13" t="str">
        <f>HYPERLINK("http://www.generation-msx.nl/msxdb/softwareinfo/357"," Lien")</f>
        <v> Lien</v>
      </c>
      <c r="C1311" s="13">
        <v>1984</v>
      </c>
      <c r="D1311" s="13" t="s">
        <v>23</v>
      </c>
      <c r="E1311" s="14" t="s">
        <v>307</v>
      </c>
      <c r="F1311" s="14" t="s">
        <v>21</v>
      </c>
      <c r="G1311" s="13" t="s">
        <v>18</v>
      </c>
    </row>
    <row r="1312" spans="1:7" ht="12.75">
      <c r="A1312" s="17" t="s">
        <v>1690</v>
      </c>
      <c r="B1312" s="18"/>
      <c r="C1312" s="18" t="s">
        <v>102</v>
      </c>
      <c r="D1312" s="18" t="s">
        <v>102</v>
      </c>
      <c r="E1312" s="19" t="s">
        <v>9</v>
      </c>
      <c r="F1312" s="19" t="s">
        <v>102</v>
      </c>
      <c r="G1312" s="18" t="s">
        <v>11</v>
      </c>
    </row>
    <row r="1313" spans="1:7" ht="12.75">
      <c r="A1313" s="36" t="s">
        <v>1691</v>
      </c>
      <c r="B1313" s="13" t="str">
        <f>HYPERLINK("http://www.generation-msx.nl/msxdb/softwareinfo/1046"," Lien")</f>
        <v> Lien</v>
      </c>
      <c r="C1313" s="13">
        <v>1988</v>
      </c>
      <c r="D1313" s="13" t="s">
        <v>20</v>
      </c>
      <c r="E1313" s="14" t="s">
        <v>24</v>
      </c>
      <c r="F1313" s="14" t="s">
        <v>52</v>
      </c>
      <c r="G1313" s="13" t="s">
        <v>18</v>
      </c>
    </row>
    <row r="1314" spans="1:7" ht="12.75">
      <c r="A1314" s="17" t="s">
        <v>1692</v>
      </c>
      <c r="B1314" s="18" t="str">
        <f>HYPERLINK("http://www.generation-msx.nl/msxdb/softwareinfo/2895"," Lien")</f>
        <v> Lien</v>
      </c>
      <c r="C1314" s="18">
        <v>1986</v>
      </c>
      <c r="D1314" s="18" t="s">
        <v>383</v>
      </c>
      <c r="E1314" s="19" t="s">
        <v>9</v>
      </c>
      <c r="F1314" s="19" t="s">
        <v>10</v>
      </c>
      <c r="G1314" s="18" t="s">
        <v>11</v>
      </c>
    </row>
    <row r="1315" spans="1:7" ht="12.75">
      <c r="A1315" s="17" t="s">
        <v>1693</v>
      </c>
      <c r="B1315" s="18" t="str">
        <f>HYPERLINK("http://www.generation-msx.nl/msxdb/softwareinfo/3033"," Lien")</f>
        <v> Lien</v>
      </c>
      <c r="C1315" s="18">
        <v>1989</v>
      </c>
      <c r="D1315" s="18" t="s">
        <v>486</v>
      </c>
      <c r="E1315" s="19" t="s">
        <v>9</v>
      </c>
      <c r="F1315" s="19" t="s">
        <v>10</v>
      </c>
      <c r="G1315" s="18" t="s">
        <v>11</v>
      </c>
    </row>
  </sheetData>
  <sheetProtection selectLockedCells="1" selectUnlockedCells="1"/>
  <autoFilter ref="A1:G379"/>
  <hyperlinks>
    <hyperlink ref="A264" r:id="rId1" display=" Champion Ice Hockey "/>
    <hyperlink ref="A265" r:id="rId2" display=" Champion Kendo"/>
    <hyperlink ref="A266" r:id="rId3" display=" Champion Pro Wrestling"/>
    <hyperlink ref="A267" r:id="rId4" display=" Champion Soccer "/>
    <hyperlink ref="A269" r:id="rId5" display=" Championship Lode Runner"/>
    <hyperlink ref="A270" r:id="rId6" display=" Channel Defensa Del Estrecho"/>
    <hyperlink ref="A271" r:id="rId7" display=" Chase H.Q. "/>
    <hyperlink ref="A272" r:id="rId8" display=" Cheating Wives "/>
    <hyperlink ref="A273" r:id="rId9" display=" Checkers in Tantan Tanuki  "/>
    <hyperlink ref="A274" r:id="rId10" display=" Checkmate "/>
    <hyperlink ref="A276" r:id="rId11" display=" Chess "/>
    <hyperlink ref="A277" r:id="rId12" display=" Chess Game, The "/>
    <hyperlink ref="A279" r:id="rId13" display=" Chess Player "/>
    <hyperlink ref="A280" r:id="rId14" display=" Chessmaster 2000, The  "/>
    <hyperlink ref="A281" r:id="rId15" display=" Chicagos 30 "/>
    <hyperlink ref="A282" r:id="rId16" display=" Chick Fighter "/>
    <hyperlink ref="A283" r:id="rId17" display=" Chicken Chase "/>
    <hyperlink ref="A284" r:id="rId18" display=" Chiller "/>
    <hyperlink ref="A285" r:id="rId19" display=" Chima Chima"/>
    <hyperlink ref="A287" r:id="rId20" display=" Choplifter "/>
    <hyperlink ref="A288" r:id="rId21" display=" Chopper 1 "/>
    <hyperlink ref="A289" r:id="rId22" display=" Choro Q "/>
    <hyperlink ref="A290" r:id="rId23" display=" Choy Lee Fut Kung-Fu Warrior"/>
    <hyperlink ref="A291" r:id="rId24" display=" Chubby Gristle "/>
    <hyperlink ref="A292" r:id="rId25" display=" Chuck Yeager's Advanced Flight Trainer "/>
    <hyperlink ref="A293" r:id="rId26" display=" Chuckie Egg "/>
    <hyperlink ref="A294" r:id="rId27" display=" Cid, El "/>
    <hyperlink ref="A295" r:id="rId28" display=" Ciencias Naturaleza 8 Egb "/>
    <hyperlink ref="A296" r:id="rId29" display=" Circus Charlie "/>
    <hyperlink ref="A298" r:id="rId30" display=" City Connection "/>
    <hyperlink ref="A299" r:id="rId31" display=" Ci-U-Than Trilogy I - La Diosa de Cozumel "/>
    <hyperlink ref="A300" r:id="rId32" display=" Ci-U-Than Trilogy II - Los Templos Sagrados "/>
    <hyperlink ref="A301" r:id="rId33" display=" Ci-U-Than Trilogy III - Chichen Itza "/>
    <hyperlink ref="A302" r:id="rId34" display=" Classic Adventure "/>
    <hyperlink ref="A306" r:id="rId35" display=" Coaster Race "/>
    <hyperlink ref="A307" r:id="rId36" display=" Cobra's Arc "/>
    <hyperlink ref="A308" r:id="rId37" display=" Coco Castle "/>
    <hyperlink ref="A309" r:id="rId38" display=" Coconuts "/>
    <hyperlink ref="A311" r:id="rId39" display=" Coliseum "/>
    <hyperlink ref="A312" r:id="rId40" display=" Colony "/>
    <hyperlink ref="A313" r:id="rId41" display=" Color Ball "/>
    <hyperlink ref="A315" r:id="rId42" display=" Color Tochika. Pillbox "/>
    <hyperlink ref="A316" r:id="rId43" display=" Colossus 4 Chess "/>
    <hyperlink ref="D316" r:id="rId44" display="CDS MICROS SYSTEMS"/>
    <hyperlink ref="E316" r:id="rId45" display="ECHECS"/>
    <hyperlink ref="F316" r:id="rId46" display="K7"/>
    <hyperlink ref="G316" r:id="rId47" display="BIEN"/>
    <hyperlink ref="A317" r:id="rId48" display=" Colt 36 "/>
    <hyperlink ref="A319" r:id="rId49" display=" Comando Quatro "/>
    <hyperlink ref="A320" r:id="rId50" display=" Comando Tracer "/>
    <hyperlink ref="A323" r:id="rId51" display=" Come On !"/>
    <hyperlink ref="A324" r:id="rId52" display=" Come On! Picot!! "/>
    <hyperlink ref="A325" r:id="rId53" display=" Comecocos "/>
    <hyperlink ref="A326" r:id="rId54" display=" Comet Tail "/>
    <hyperlink ref="A327" r:id="rId55" display=" Comic Bakery "/>
    <hyperlink ref="A329" r:id="rId56" display=" Compra y Vende "/>
    <hyperlink ref="A330" r:id="rId57" display=" Computadora Adivina "/>
    <hyperlink ref="A331" r:id="rId58" display=" Computer Billiards "/>
    <hyperlink ref="A332" r:id="rId59" display=" Computer Chess "/>
    <hyperlink ref="A333" r:id="rId60" display=" Computer Othello"/>
    <hyperlink ref="A334" r:id="rId61" display=" Computer Pachinko "/>
    <hyperlink ref="A335" r:id="rId62" display=" Computer Wars "/>
    <hyperlink ref="A337" r:id="rId63" display=" Con-Dori "/>
    <hyperlink ref="A338" r:id="rId64" display=" Confused "/>
    <hyperlink ref="A340" r:id="rId65" display=" Congo Bongo "/>
    <hyperlink ref="A341" r:id="rId66" display=" Continental Circus "/>
    <hyperlink ref="A342" r:id="rId67" display=" Contract Bridge "/>
    <hyperlink ref="A344" r:id="rId68" display=" Corsarios "/>
    <hyperlink ref="A345" r:id="rId69" display=" Cosa Nostra "/>
    <hyperlink ref="A346" r:id="rId70" display=" Cosme Estible "/>
    <hyperlink ref="A347" r:id="rId71" display=" Cosmic Battle"/>
    <hyperlink ref="A348" r:id="rId72" display=" Cosmic Sheriff "/>
    <hyperlink ref="A349" r:id="rId73" display=" Cosmic Shock Absorber "/>
    <hyperlink ref="D349" r:id="rId74" display="MARTECH GAMES"/>
    <hyperlink ref="E349" r:id="rId75" display="ACTION"/>
    <hyperlink ref="F349" r:id="rId76" display="K7"/>
    <hyperlink ref="G349" r:id="rId77" display="BOF"/>
    <hyperlink ref="A350" r:id="rId78" display=" Cosmic Soldier 2 - Psychic War "/>
    <hyperlink ref="A351" r:id="rId79" display=" Cosmo Explorer "/>
    <hyperlink ref="A352" r:id="rId80" display=" Cosmo Traveler "/>
    <hyperlink ref="A353" r:id="rId81" display=" Cosmos "/>
    <hyperlink ref="A355" r:id="rId82" display=" Courageous Perseus "/>
    <hyperlink ref="A356" r:id="rId83" display=" Craze "/>
    <hyperlink ref="A357" r:id="rId84" display=" Crazy Buggy "/>
    <hyperlink ref="A358" r:id="rId85" display=" Crazy Bullet "/>
    <hyperlink ref="A359" r:id="rId86" display=" Crazy Cars "/>
    <hyperlink ref="A360" r:id="rId87" display=" Crazy MSX Frenchies"/>
    <hyperlink ref="A361" r:id="rId88" display=" Crazy Train "/>
    <hyperlink ref="A363" r:id="rId89" display=" Cribbage "/>
    <hyperlink ref="A365" r:id="rId90" display=" Cross Blaim "/>
    <hyperlink ref="A366" r:id="rId91" display=" Crossing, The "/>
    <hyperlink ref="A368" r:id="rId92" display=" Crusader "/>
    <hyperlink ref="A369" r:id="rId93" display=" Crux "/>
    <hyperlink ref="A370" r:id="rId94" display=" Cubik. Rubick "/>
    <hyperlink ref="A371" r:id="rId95" display=" Cubit "/>
    <hyperlink ref="A373" r:id="rId96" display=" Cure, The "/>
    <hyperlink ref="A374" r:id="rId97" display=" Curro Jimenez "/>
    <hyperlink ref="A375" r:id="rId98" display=" Cyberbig "/>
    <hyperlink ref="A376" r:id="rId99" display=" Cyberun "/>
    <hyperlink ref="A378" r:id="rId100" display=" Cyrus 2 Chess "/>
    <hyperlink ref="A380" r:id="rId101" display=" Daedalian Opus"/>
    <hyperlink ref="A381" r:id="rId102" display=" Daidasso. Great Escape "/>
    <hyperlink ref="A383" r:id="rId103" display=" Daiva Story 4 - Asura's Bloodfeud "/>
    <hyperlink ref="A384" r:id="rId104" display=" Dam Busters, The "/>
    <hyperlink ref="A385" r:id="rId105" display=" Damas "/>
    <hyperlink ref="A386" r:id="rId106" display=" Danger Mouse"/>
    <hyperlink ref="A387" r:id="rId107" display=" Danger Tower"/>
    <hyperlink ref="A388" r:id="rId108" display=" Danger X4 "/>
    <hyperlink ref="A390" r:id="rId109" display=" Darkwood Manor "/>
    <hyperlink ref="A391" r:id="rId110" display=" Darts"/>
    <hyperlink ref="A392" r:id="rId111" display=" Darts "/>
    <hyperlink ref="A393" r:id="rId112" display=" Darts 180"/>
    <hyperlink ref="A394" r:id="rId113" display=" David II"/>
    <hyperlink ref="A396" r:id="rId114" display=" D-Day "/>
    <hyperlink ref="A397" r:id="rId115" display=" De Grotten Van Oberon"/>
    <hyperlink ref="A398" r:id="rId116" display=" De Sprinter "/>
    <hyperlink ref="A399" r:id="rId117" display=" Death Valley Gold Rush "/>
    <hyperlink ref="A400" r:id="rId118" display=" Death Wish 3"/>
    <hyperlink ref="A401" r:id="rId119" display=" Decathlon "/>
    <hyperlink ref="A403" r:id="rId120" display=" Deep Dungeon "/>
    <hyperlink ref="A404" r:id="rId121" display=" Deep Dungeon II"/>
    <hyperlink ref="A405" r:id="rId122" display=" Defcom1 "/>
    <hyperlink ref="A408" r:id="rId123" display=" Demon Crystal, The "/>
    <hyperlink ref="A409" r:id="rId124" display=" Demon Crystal Saga II - Knither Special"/>
    <hyperlink ref="A410" r:id="rId125" display=" Descubrimiento De America "/>
    <hyperlink ref="A411" r:id="rId126" display=" Desolator "/>
    <hyperlink ref="A412" r:id="rId127" display=" Desperado"/>
    <hyperlink ref="A413" r:id="rId128" display=" Desperado 2 "/>
    <hyperlink ref="A414" r:id="rId129" display=" Destroyer "/>
    <hyperlink ref="A415" r:id="rId130" display=" Detective Orson Welles"/>
    <hyperlink ref="A416" r:id="rId131" display=" Deux Ex Machina "/>
    <hyperlink ref="A417" r:id="rId132" display=" Devil Hunter "/>
    <hyperlink ref="A418" r:id="rId133" display=" Devil's Castle, The "/>
    <hyperlink ref="A419" r:id="rId134" display=" Devil's Heaven "/>
    <hyperlink ref="A423" r:id="rId135" display=" Diamond Mine 2 "/>
    <hyperlink ref="A424" r:id="rId136" display=" Dig Dug "/>
    <hyperlink ref="A425" r:id="rId137" display=" Dimension Omega "/>
    <hyperlink ref="A426" r:id="rId138" display=" Dinamite Dan "/>
    <hyperlink ref="A428" r:id="rId139" display=" Dip Dip "/>
    <hyperlink ref="A429" r:id="rId140" display=" Disc Warrior "/>
    <hyperlink ref="A430" r:id="rId141" display=" Discovery  "/>
    <hyperlink ref="A431" r:id="rId142" display=" Dizzy Ball "/>
    <hyperlink ref="A432" r:id="rId143" display=" Dizzy Balloon "/>
    <hyperlink ref="A433" r:id="rId144" display=" Dizzy Dice "/>
    <hyperlink ref="A434" r:id="rId145" display=" Docteur Galaxie "/>
    <hyperlink ref="A436" r:id="rId146" display=" Dog Fighter "/>
    <hyperlink ref="A437" r:id="rId147" display=" Doki Doki Penguin Land "/>
    <hyperlink ref="A438" r:id="rId148" display=" Domino "/>
    <hyperlink ref="A439" r:id="rId149" display=" Don Quijote"/>
    <hyperlink ref="A440" r:id="rId150" display=" Donkey Kong "/>
    <hyperlink ref="A441" r:id="rId151" display=" Donpan"/>
    <hyperlink ref="A442" r:id="rId152" display=" Doordoor mk2"/>
    <hyperlink ref="A443" r:id="rId153" display=" Dorodon "/>
    <hyperlink ref="A444" r:id="rId154" display=" Double Dragon "/>
    <hyperlink ref="A445" r:id="rId155" display=" Double Dragon II - The Revenge "/>
    <hyperlink ref="A447" r:id="rId156" display=" Dr Archie"/>
    <hyperlink ref="A448" r:id="rId157" display=" Dr. Jackle And Mr. Wide"/>
    <hyperlink ref="A449" r:id="rId158" display=" Dracula "/>
    <hyperlink ref="A450" r:id="rId159" display=" Dragon Attack "/>
    <hyperlink ref="A451" r:id="rId160" display=" Dragon Ninja "/>
    <hyperlink ref="A452" r:id="rId161" display=" Dragon Quest "/>
    <hyperlink ref="A453" r:id="rId162" display=" Dragon Quest II "/>
    <hyperlink ref="A454" r:id="rId163" display=" Dragon Slayer "/>
    <hyperlink ref="A455" r:id="rId164" display=" Dragon Slayer 2 - Xanadu "/>
    <hyperlink ref="A456" r:id="rId165" display=" Dragon Slayer 3 - Romancia. Dragon Slayer Jr "/>
    <hyperlink ref="A457" r:id="rId166" display=" Dragon Slayer 4 - Drasle Family"/>
    <hyperlink ref="A458" r:id="rId167" display=" DRAINER"/>
    <hyperlink ref="A459" r:id="rId168" display=" Draughts "/>
    <hyperlink ref="A460" r:id="rId169" display=" Drazen Petrovic Basket "/>
    <hyperlink ref="A462" r:id="rId170" display=" Driller Tanks "/>
    <hyperlink ref="A464" r:id="rId171" display=" Droids The White Witch "/>
    <hyperlink ref="A465" r:id="rId172" display=" Drome "/>
    <hyperlink ref="A467" r:id="rId173" display=" Duck Hunt "/>
    <hyperlink ref="A469" r:id="rId174" display=" Dungeon Hunter "/>
    <hyperlink ref="A470" r:id="rId175" display=" Dungeon Master "/>
    <hyperlink ref="A471" r:id="rId176" display=" Dungeon Mystery II "/>
    <hyperlink ref="A472" r:id="rId177" display=" Dunk Shot "/>
    <hyperlink ref="A473" r:id="rId178" display=" Dustin "/>
    <hyperlink ref="A474" r:id="rId179" display=" Dynamite Bowl "/>
    <hyperlink ref="A475" r:id="rId180" display=" Dynamite Dan  "/>
    <hyperlink ref="A476" r:id="rId181" display=" E.I. - Exa Innova "/>
    <hyperlink ref="A477" r:id="rId182" display=" Eagle "/>
    <hyperlink ref="A479" r:id="rId183" display=" Eagle Fighter "/>
    <hyperlink ref="A481" r:id="rId184" display=" Eat Blue! "/>
    <hyperlink ref="A482" r:id="rId185" display=" Eat It "/>
    <hyperlink ref="A483" r:id="rId186" display=" Eddie Kidd Jump Challenge "/>
    <hyperlink ref="A484" r:id="rId187" display=" Eggerland Mistery "/>
    <hyperlink ref="A485" r:id="rId188" display=" Eggerland Mistery 2 "/>
    <hyperlink ref="A486" r:id="rId189" display=" Eggy "/>
    <hyperlink ref="A487" r:id="rId190" display=" El Bingo "/>
    <hyperlink ref="A488" r:id="rId191" display=" El Castillo De Godless"/>
    <hyperlink ref="A489" r:id="rId192" display=" El Cid "/>
    <hyperlink ref="A490" r:id="rId193" display=" El Gerente "/>
    <hyperlink ref="A492" r:id="rId194" display=" El Mago Volador "/>
    <hyperlink ref="A493" r:id="rId195" display=" El Misterio Del Nilo "/>
    <hyperlink ref="A494" r:id="rId196" display=" El Motorista Sideral "/>
    <hyperlink ref="A496" r:id="rId197" display=" El Mundo Perdido "/>
    <hyperlink ref="A498" r:id="rId198" display=" El Poder Oscuro"/>
    <hyperlink ref="A501" r:id="rId199" display=" Elidon "/>
    <hyperlink ref="A502" r:id="rId200" display=" Elite "/>
    <hyperlink ref="A503" r:id="rId201" display=" Emerald Isle "/>
    <hyperlink ref="A504" r:id="rId202" display=" Emilio Butragueno Futbol "/>
    <hyperlink ref="A505" r:id="rId203" display=" Emilio Butragueno Futbol II "/>
    <hyperlink ref="A506" r:id="rId204" display=" Emilio Sanchez Vicario Grand Slam "/>
    <hyperlink ref="A509" r:id="rId205" display=" Enchanted "/>
    <hyperlink ref="A510" r:id="rId206" display=" Enemy Trap "/>
    <hyperlink ref="A513" r:id="rId207" display=" Erika SF Adult Adventure"/>
    <hyperlink ref="A517" r:id="rId208" display=" European Games "/>
    <hyperlink ref="A519" r:id="rId209" display=" Ewoks And The Dandelion Warrior "/>
    <hyperlink ref="A520" r:id="rId210" display=" Exchanger "/>
    <hyperlink ref="A521" r:id="rId211" display=" Exerion "/>
    <hyperlink ref="A522" r:id="rId212" display=" Exerion II - Zorni "/>
    <hyperlink ref="A524" r:id="rId213" display=" Exoide-z "/>
    <hyperlink ref="A525" r:id="rId214" display=" Exoide-Z Area 5 "/>
    <hyperlink ref="A527" r:id="rId215" display=" Exterminator "/>
    <hyperlink ref="A528" r:id="rId216" display=" F-1 Spirit - The Way to Formula 1 "/>
    <hyperlink ref="A532" r:id="rId217" display=" Fa Tetris "/>
    <hyperlink ref="A533" r:id="rId218" display=" Factory Infection "/>
    <hyperlink ref="A534" r:id="rId219" display=" Fairy "/>
    <hyperlink ref="A535" r:id="rId220" display=" Fairyland Story, The "/>
    <hyperlink ref="A536" r:id="rId221" display=" Fall Out "/>
    <hyperlink ref="A537" r:id="rId222" display=" Fanky Punky"/>
    <hyperlink ref="A538" r:id="rId223" display=" Fantasm Soldier, The (Valis)"/>
    <hyperlink ref="A539" r:id="rId224" display=" Fantasy Zone"/>
    <hyperlink ref="A541" r:id="rId225" display=" Fe Y Vida 8 Egb "/>
    <hyperlink ref="A542" r:id="rId226" display=" Fernando Martin Basket Master"/>
    <hyperlink ref="A543" r:id="rId227" display=" Fernando Martin master Executive"/>
    <hyperlink ref="A544" r:id="rId228" display=" Feud "/>
    <hyperlink ref="A545" r:id="rId229" display=" Fighting Rider"/>
    <hyperlink ref="A546" r:id="rId230" display=" Fin Pack "/>
    <hyperlink ref="A547" r:id="rId231" display=" Final Countdown "/>
    <hyperlink ref="A548" r:id="rId232" display=" Final Justice "/>
    <hyperlink ref="A549" r:id="rId233" display=" Final Mahjong "/>
    <hyperlink ref="A550" r:id="rId234" display=" Final Zone Wolf"/>
    <hyperlink ref="A551" r:id="rId235" display=" Finders Keepers "/>
    <hyperlink ref="A552" r:id="rId236" display=" FireHawk "/>
    <hyperlink ref="A553" r:id="rId237" display=" Fire Rescue "/>
    <hyperlink ref="A554" r:id="rId238" display=" Fire Star "/>
    <hyperlink ref="A555" r:id="rId239" display=" Fire Warrior "/>
    <hyperlink ref="A557" r:id="rId240" display=" Flappy (Limited)"/>
    <hyperlink ref="A558" r:id="rId241" display=" Flash Gordon "/>
    <hyperlink ref="A559" r:id="rId242" display=" Flash Splash "/>
    <hyperlink ref="A560" r:id="rId243" display=" Flashpoint"/>
    <hyperlink ref="A561" r:id="rId244" display=" Flicky "/>
    <hyperlink ref="A562" r:id="rId245" display=" Flics, Les "/>
    <hyperlink ref="A563" r:id="rId246" display=" Flight Deck "/>
    <hyperlink ref="A564" r:id="rId247" display=" Flight Deck 2 "/>
    <hyperlink ref="A565" r:id="rId248" display=" Flight Path 737 "/>
    <hyperlink ref="A566" r:id="rId249" display=" Flight Simulator "/>
    <hyperlink ref="A567" r:id="rId250" display=" Flintstones. Los Picapiedra "/>
    <hyperlink ref="A568" r:id="rId251" display=" Flipper Slipper "/>
    <hyperlink ref="A569" r:id="rId252" display=" Flop Chop "/>
    <hyperlink ref="A570" r:id="rId253" display=" Flyboat "/>
    <hyperlink ref="A572" r:id="rId254" display=" Foot Volley"/>
    <hyperlink ref="A573" r:id="rId255" display=" Football Manager"/>
    <hyperlink ref="A574" r:id="rId256" display=" Football Manager World Cup "/>
    <hyperlink ref="A575" r:id="rId257" display=" Footballer Of The Year "/>
    <hyperlink ref="A576" r:id="rId258" display=" Forajidos (1986)(Edi Soft)(Sp) "/>
    <hyperlink ref="A577" r:id="rId259" display=" Forbidden Fruit "/>
    <hyperlink ref="A578" r:id="rId260" display=" Formation Z (1985)(Jaleco) "/>
    <hyperlink ref="A579" r:id="rId261" display=" Formula 1 Simulator"/>
    <hyperlink ref="A580" r:id="rId262" display=" Formula Dice"/>
    <hyperlink ref="A583" r:id="rId263" display=" Freddy Hardest"/>
    <hyperlink ref="A584" r:id="rId264" display=" Freddy Hardest in South Manhattan"/>
    <hyperlink ref="A585" r:id="rId265" display=" Frog "/>
    <hyperlink ref="H678" r:id="rId266" display=" Baseball Msx "/>
    <hyperlink ref="O678" r:id="rId267" display=" Baseball Msx "/>
    <hyperlink ref="V678" r:id="rId268" display=" Baseball Msx "/>
    <hyperlink ref="AC678" r:id="rId269" display=" Baseball Msx "/>
    <hyperlink ref="AJ678" r:id="rId270" display=" Baseball Msx "/>
    <hyperlink ref="AQ678" r:id="rId271" display=" Baseball Msx "/>
    <hyperlink ref="AX678" r:id="rId272" display=" Baseball Msx "/>
    <hyperlink ref="BE678" r:id="rId273" display=" Baseball Msx "/>
    <hyperlink ref="BL678" r:id="rId274" display=" Baseball Msx "/>
    <hyperlink ref="BS678" r:id="rId275" display=" Baseball Msx "/>
    <hyperlink ref="BZ678" r:id="rId276" display=" Baseball Msx "/>
    <hyperlink ref="CG678" r:id="rId277" display=" Baseball Msx "/>
    <hyperlink ref="CN678" r:id="rId278" display=" Baseball Msx "/>
    <hyperlink ref="CU678" r:id="rId279" display=" Baseball Msx "/>
    <hyperlink ref="DB678" r:id="rId280" display=" Baseball Msx "/>
    <hyperlink ref="DI678" r:id="rId281" display=" Baseball Msx "/>
    <hyperlink ref="DP678" r:id="rId282" display=" Baseball Msx "/>
    <hyperlink ref="DW678" r:id="rId283" display=" Baseball Msx "/>
    <hyperlink ref="ED678" r:id="rId284" display=" Baseball Msx "/>
    <hyperlink ref="EK678" r:id="rId285" display=" Baseball Msx "/>
    <hyperlink ref="ER678" r:id="rId286" display=" Baseball Msx "/>
    <hyperlink ref="EY678" r:id="rId287" display=" Baseball Msx "/>
    <hyperlink ref="FF678" r:id="rId288" display=" Baseball Msx "/>
    <hyperlink ref="FM678" r:id="rId289" display=" Baseball Msx "/>
    <hyperlink ref="FT678" r:id="rId290" display=" Baseball Msx "/>
    <hyperlink ref="GA678" r:id="rId291" display=" Baseball Msx "/>
    <hyperlink ref="GH678" r:id="rId292" display=" Baseball Msx "/>
    <hyperlink ref="GO678" r:id="rId293" display=" Baseball Msx "/>
    <hyperlink ref="GV678" r:id="rId294" display=" Baseball Msx "/>
    <hyperlink ref="HC678" r:id="rId295" display=" Baseball Msx "/>
    <hyperlink ref="HJ678" r:id="rId296" display=" Baseball Msx "/>
    <hyperlink ref="HQ678" r:id="rId297" display=" Baseball Msx "/>
    <hyperlink ref="HX678" r:id="rId298" display=" Baseball Msx "/>
    <hyperlink ref="IE678" r:id="rId299" display=" Baseball Msx "/>
    <hyperlink ref="IL678" r:id="rId300" display=" Baseball Msx "/>
    <hyperlink ref="IS678" r:id="rId301" display=" Baseball Msx 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36871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JEUX MSX 1</dc:title>
  <dc:subject/>
  <dc:creator>FRANCK 75</dc:creator>
  <cp:keywords/>
  <dc:description/>
  <cp:lastModifiedBy/>
  <dcterms:created xsi:type="dcterms:W3CDTF">2009-01-25T12:03:02Z</dcterms:created>
  <dcterms:modified xsi:type="dcterms:W3CDTF">2011-02-06T14:54:30Z</dcterms:modified>
  <cp:category/>
  <cp:version/>
  <cp:contentType/>
  <cp:contentStatus/>
  <cp:revision>256</cp:revision>
</cp:coreProperties>
</file>